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E-MAKS\E-MAKS-2-EM\01_Netz_Erdgas\01_Bilanzierung\03_Temperaturen\05_Langjährige Monatsmitteltemperatur\2024\Sicherung_Veröffentlichungsdateien\"/>
    </mc:Choice>
  </mc:AlternateContent>
  <xr:revisionPtr revIDLastSave="0" documentId="13_ncr:1_{FBEB0CFA-FE42-483E-8BE5-0B4130400100}" xr6:coauthVersionLast="47" xr6:coauthVersionMax="47" xr10:uidLastSave="{00000000-0000-0000-0000-000000000000}"/>
  <bookViews>
    <workbookView xWindow="-38520" yWindow="-1770" windowWidth="38640" windowHeight="21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HIST_MONATSDURCHSCHNITT" sheetId="22" r:id="rId9"/>
    <sheet name="Wochentag F(WT)" sheetId="4" state="hidden" r:id="rId10"/>
  </sheets>
  <externalReferences>
    <externalReference r:id="rId11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9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Q24" i="7" s="1"/>
  <c r="H24" i="7"/>
  <c r="F24" i="7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H23" i="7"/>
  <c r="F23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F22" i="7"/>
  <c r="W21" i="7"/>
  <c r="V21" i="7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Q21" i="7" s="1"/>
  <c r="F21" i="7"/>
  <c r="W20" i="7"/>
  <c r="V20" i="7"/>
  <c r="U20" i="7"/>
  <c r="T20" i="7"/>
  <c r="S20" i="7"/>
  <c r="R20" i="7"/>
  <c r="P20" i="7"/>
  <c r="O20" i="7"/>
  <c r="N20" i="7"/>
  <c r="M20" i="7"/>
  <c r="L20" i="7"/>
  <c r="K20" i="7"/>
  <c r="J20" i="7"/>
  <c r="I20" i="7"/>
  <c r="H20" i="7"/>
  <c r="F20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I19" i="7"/>
  <c r="H19" i="7"/>
  <c r="Q19" i="7" s="1"/>
  <c r="F19" i="7"/>
  <c r="W18" i="7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F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F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F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Q15" i="7" s="1"/>
  <c r="F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2" i="7"/>
  <c r="Q23" i="7" l="1"/>
  <c r="Q13" i="7"/>
  <c r="Q14" i="7"/>
  <c r="X13" i="7"/>
  <c r="X14" i="7"/>
  <c r="X15" i="7"/>
  <c r="Q16" i="7"/>
  <c r="X16" i="7"/>
  <c r="X17" i="7"/>
  <c r="Q18" i="7"/>
  <c r="X18" i="7"/>
  <c r="X19" i="7"/>
  <c r="Q20" i="7"/>
  <c r="X20" i="7"/>
  <c r="X21" i="7"/>
  <c r="Q22" i="7"/>
  <c r="X22" i="7"/>
  <c r="Q17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G21" i="18" l="1"/>
  <c r="I21" i="18"/>
  <c r="D66" i="18"/>
  <c r="L65" i="18" s="1"/>
  <c r="K21" i="18"/>
  <c r="J21" i="18"/>
  <c r="L21" i="18"/>
  <c r="M21" i="18"/>
  <c r="D56" i="18"/>
  <c r="J55" i="18" s="1"/>
  <c r="E31" i="18"/>
  <c r="N65" i="18"/>
  <c r="I65" i="18"/>
  <c r="F55" i="18"/>
  <c r="E21" i="18"/>
  <c r="I55" i="18"/>
  <c r="J70" i="17"/>
  <c r="K70" i="17"/>
  <c r="L70" i="17"/>
  <c r="M70" i="17"/>
  <c r="N70" i="17"/>
  <c r="E70" i="17"/>
  <c r="L55" i="18" l="1"/>
  <c r="H65" i="18"/>
  <c r="G65" i="18"/>
  <c r="E65" i="18" s="1"/>
  <c r="M55" i="18"/>
  <c r="F65" i="18"/>
  <c r="J65" i="18"/>
  <c r="K65" i="18"/>
  <c r="H55" i="18"/>
  <c r="E55" i="18" s="1"/>
  <c r="M65" i="18"/>
  <c r="G55" i="18"/>
  <c r="K55" i="18"/>
  <c r="N5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J67" i="17"/>
  <c r="K67" i="17"/>
  <c r="L67" i="17"/>
  <c r="M67" i="17"/>
  <c r="N67" i="17"/>
  <c r="J68" i="17"/>
  <c r="K68" i="17"/>
  <c r="L68" i="17"/>
  <c r="M68" i="17"/>
  <c r="N68" i="17"/>
  <c r="J69" i="17"/>
  <c r="K69" i="17"/>
  <c r="L69" i="17"/>
  <c r="M69" i="17"/>
  <c r="N69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D33" i="17" s="1"/>
  <c r="I32" i="17" s="1"/>
  <c r="T23" i="17"/>
  <c r="E68" i="17"/>
  <c r="E60" i="17"/>
  <c r="E58" i="17"/>
  <c r="E69" i="17"/>
  <c r="G32" i="17" l="1"/>
  <c r="H32" i="17"/>
  <c r="F32" i="17"/>
  <c r="F64" i="17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J32" i="17" l="1"/>
  <c r="N32" i="17"/>
  <c r="K32" i="17"/>
  <c r="L32" i="17"/>
  <c r="M32" i="17"/>
  <c r="D57" i="17"/>
  <c r="D67" i="17"/>
  <c r="E32" i="17" l="1"/>
  <c r="K66" i="17"/>
  <c r="L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<sst xmlns="http://schemas.openxmlformats.org/spreadsheetml/2006/main" count="1348" uniqueCount="655">
  <si>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</si>
  <si>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</si>
  <si>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</si>
  <si>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</si>
  <si>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</si>
  <si>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</si>
  <si>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</si>
  <si>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</si>
  <si>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</si>
  <si>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</si>
  <si>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</si>
  <si>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</si>
  <si>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</si>
  <si>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</si>
  <si>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</si>
  <si>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</si>
  <si>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</si>
  <si>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</si>
  <si>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</si>
  <si>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</si>
  <si>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</si>
  <si>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</si>
  <si>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</si>
  <si>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</si>
  <si>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</si>
  <si>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</si>
  <si>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</si>
  <si>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</si>
  <si>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</si>
  <si>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</si>
  <si>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</si>
  <si>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</si>
  <si>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</si>
  <si>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</si>
  <si>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</si>
  <si>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</si>
  <si>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</si>
  <si>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</si>
  <si>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</si>
  <si>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</si>
  <si>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</si>
  <si>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</si>
  <si>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</si>
  <si>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</si>
  <si>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</si>
  <si>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</si>
  <si>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</si>
  <si>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</si>
  <si>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</si>
  <si>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</si>
  <si>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</si>
  <si>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</si>
  <si>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</si>
  <si>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</si>
  <si>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</si>
  <si>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</si>
  <si>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</si>
  <si>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</si>
  <si>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</si>
  <si>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</si>
  <si>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</si>
  <si>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</si>
  <si>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</si>
  <si>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</si>
  <si>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</si>
  <si>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</si>
  <si>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</si>
  <si>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</si>
  <si>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</si>
  <si>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</si>
  <si>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</si>
  <si>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</si>
  <si>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</si>
  <si>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</si>
  <si>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</si>
  <si>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</si>
  <si>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</si>
  <si>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</si>
  <si>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</si>
  <si>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</si>
  <si>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</si>
  <si>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</si>
  <si>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</si>
  <si>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</si>
  <si>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</si>
  <si>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</si>
  <si>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</si>
  <si>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</si>
  <si>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</si>
  <si>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</si>
  <si>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</si>
  <si>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</si>
  <si>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</si>
  <si>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</si>
  <si>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</si>
  <si>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</si>
  <si>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</si>
  <si>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</si>
  <si>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</si>
  <si>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</si>
  <si>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</si>
  <si>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</si>
  <si>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</si>
  <si>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</si>
  <si>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</si>
  <si>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</si>
  <si>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</si>
  <si>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</si>
  <si>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</si>
  <si>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</si>
  <si>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</si>
  <si>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</si>
  <si>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</si>
  <si>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</si>
  <si>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</si>
  <si>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</si>
  <si>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</si>
  <si>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</si>
  <si>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</si>
  <si>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</si>
  <si>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</si>
  <si>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</si>
  <si>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</si>
  <si>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</si>
  <si>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</si>
  <si>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</si>
  <si>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</si>
  <si>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</si>
  <si>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</si>
  <si>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</si>
  <si>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</si>
  <si>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</si>
  <si>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</si>
  <si>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</si>
  <si>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</si>
  <si>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</si>
  <si>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</si>
  <si>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</si>
  <si>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</si>
  <si>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</si>
  <si>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</si>
  <si>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</si>
  <si>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</si>
  <si>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</si>
  <si>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</si>
  <si>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</si>
  <si>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</si>
  <si>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</si>
  <si>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</si>
  <si>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</si>
  <si>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</si>
  <si>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</si>
  <si>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</si>
  <si>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</si>
  <si>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</si>
  <si>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</si>
  <si>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</si>
  <si>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</si>
  <si>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</si>
  <si>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</si>
  <si>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</si>
  <si>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</si>
  <si>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</si>
  <si>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</si>
  <si>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</si>
  <si>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</si>
  <si>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</si>
  <si>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</si>
  <si>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</si>
  <si>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</si>
  <si>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</si>
  <si>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</si>
  <si>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</si>
  <si>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</si>
  <si>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</si>
  <si>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</si>
  <si>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</si>
  <si>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</si>
  <si>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</si>
  <si>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</si>
  <si>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</si>
  <si>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</si>
  <si>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</si>
  <si>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</si>
  <si>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</si>
  <si>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</si>
  <si>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</si>
  <si>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</si>
  <si>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</si>
  <si>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</si>
  <si>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</si>
  <si>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</si>
  <si>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</si>
  <si>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</si>
  <si>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</si>
  <si>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</si>
  <si>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</si>
  <si>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</si>
  <si>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</si>
  <si>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</si>
  <si>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</si>
  <si>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</si>
  <si>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</si>
  <si>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</si>
  <si>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</si>
  <si>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</si>
  <si>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</si>
  <si>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</si>
  <si>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</si>
  <si>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</si>
  <si>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</si>
  <si>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</si>
  <si>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</si>
  <si>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</si>
  <si>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</si>
  <si>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</si>
  <si>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</si>
  <si>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</si>
  <si>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</si>
  <si>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</si>
  <si>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</si>
  <si>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</si>
  <si>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</si>
  <si>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</si>
  <si>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</si>
  <si>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</si>
  <si>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</si>
  <si>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</si>
  <si>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</si>
  <si>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</si>
  <si>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</si>
  <si>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</si>
  <si>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</si>
  <si>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</si>
  <si>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</si>
  <si>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</si>
  <si>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</si>
  <si>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</si>
  <si>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</si>
  <si>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</si>
  <si>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</si>
  <si>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</si>
  <si>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</si>
  <si>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</si>
  <si>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</si>
  <si>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</si>
  <si>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</si>
  <si>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</si>
  <si>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</si>
  <si>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</si>
  <si>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</si>
  <si>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</si>
  <si>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</si>
  <si>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</si>
  <si>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</si>
  <si>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</si>
  <si>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</si>
  <si>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</si>
  <si>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</si>
  <si>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</si>
  <si>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</si>
  <si>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</si>
  <si>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</si>
  <si>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</si>
  <si>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</si>
  <si>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</si>
  <si>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</si>
  <si>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</si>
  <si>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</si>
  <si>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</si>
  <si>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</si>
  <si>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</si>
  <si>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</si>
  <si>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</si>
  <si>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</si>
  <si>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</si>
  <si>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</si>
  <si>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</si>
  <si>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</si>
  <si>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</si>
  <si>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</si>
  <si>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</si>
  <si>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</si>
  <si>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</si>
  <si>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</si>
  <si>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</si>
  <si>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</si>
  <si>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</si>
  <si>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</si>
  <si>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</si>
  <si>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</si>
  <si>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</si>
  <si>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</si>
  <si>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</si>
  <si>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</si>
  <si>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</si>
  <si>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</si>
  <si>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</si>
  <si>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</si>
  <si>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</si>
  <si>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</si>
  <si>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</si>
  <si>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</si>
  <si>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</si>
  <si>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</si>
  <si>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</si>
  <si>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</si>
  <si>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</si>
  <si>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</si>
  <si>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</si>
  <si>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</si>
  <si>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</si>
  <si>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</si>
  <si>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</si>
  <si>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</si>
  <si>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</si>
  <si>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</si>
  <si>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</si>
  <si>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</si>
  <si>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</si>
  <si>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</si>
  <si>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</si>
  <si>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</si>
  <si>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</si>
  <si>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</si>
  <si>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</si>
  <si>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</si>
  <si>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</si>
  <si>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</si>
  <si>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</si>
  <si>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</si>
  <si>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</si>
  <si>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</si>
  <si>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</si>
  <si>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</si>
  <si>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</si>
  <si>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</si>
  <si>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</si>
  <si>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</si>
  <si>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</si>
  <si>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</si>
  <si>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</si>
  <si>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</si>
  <si>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</si>
  <si>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</si>
  <si>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</si>
  <si>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</si>
  <si>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</si>
  <si>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</si>
  <si>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</si>
  <si>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</si>
  <si>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</si>
  <si>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</si>
  <si>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</si>
  <si>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</si>
  <si>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</si>
  <si>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</si>
  <si>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</si>
  <si>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</si>
  <si>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</si>
  <si>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</si>
  <si>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</si>
  <si>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</si>
  <si>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</si>
  <si>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</si>
  <si>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</si>
  <si>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</si>
  <si>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</si>
  <si>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</si>
  <si>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</si>
  <si>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</si>
  <si>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</si>
  <si>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</si>
  <si>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</si>
  <si>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</si>
  <si>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</si>
  <si>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</si>
  <si>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</si>
  <si>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</si>
  <si>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</si>
  <si>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</si>
  <si>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</si>
  <si>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</si>
  <si>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</si>
  <si>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</si>
  <si>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</si>
  <si>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</si>
  <si>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</si>
  <si>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</si>
  <si>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</si>
  <si>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</si>
  <si>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</si>
  <si>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</si>
  <si>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</si>
  <si>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</si>
  <si>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</si>
  <si>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</si>
  <si>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</si>
  <si>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</si>
  <si>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</si>
  <si>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</si>
  <si>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</si>
  <si>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</si>
  <si>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</si>
  <si>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</si>
  <si>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</si>
  <si>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</si>
  <si>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</si>
  <si>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</si>
  <si>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</si>
  <si>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</si>
  <si>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</si>
  <si>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</si>
  <si>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</si>
  <si>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</si>
  <si>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</si>
  <si>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</si>
  <si>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</si>
  <si>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</si>
  <si>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</si>
  <si>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</si>
  <si>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</si>
  <si>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</si>
  <si>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</si>
  <si>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</si>
  <si>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</si>
  <si>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</si>
  <si>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NB</t>
  </si>
  <si>
    <t>NB-individuell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</si>
  <si>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</si>
  <si>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</si>
  <si>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</si>
  <si>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</si>
  <si>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</si>
  <si>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</si>
  <si>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</si>
  <si>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</si>
  <si>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</si>
  <si>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</si>
  <si>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</si>
  <si>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</si>
  <si>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</si>
  <si>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</si>
  <si>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</si>
  <si>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</si>
  <si>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</si>
  <si>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</si>
  <si>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</si>
  <si>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</si>
  <si>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</si>
  <si>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</si>
  <si>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</si>
  <si>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</si>
  <si>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</si>
  <si>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</si>
  <si>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</si>
  <si>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</si>
  <si>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</si>
  <si>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</si>
  <si>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</si>
  <si>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</si>
  <si>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</si>
  <si>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</si>
  <si>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</si>
  <si>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</si>
  <si>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</si>
  <si>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</si>
  <si>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</si>
  <si>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</si>
  <si>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</si>
  <si>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</si>
  <si>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</si>
  <si>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</si>
  <si>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</si>
  <si>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</si>
  <si>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</si>
  <si>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</si>
  <si>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</si>
  <si>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</si>
  <si>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</si>
  <si>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</si>
  <si>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</si>
  <si>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</si>
  <si>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</si>
  <si>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</si>
  <si>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</si>
  <si>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</si>
  <si>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</si>
  <si>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</si>
  <si>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</si>
  <si>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</si>
  <si>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</si>
  <si>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</si>
  <si>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</si>
  <si>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</si>
  <si>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</si>
  <si>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</si>
  <si>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</si>
  <si>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</si>
  <si>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</si>
  <si>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</si>
  <si>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</si>
  <si>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</si>
  <si>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</si>
  <si>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</si>
  <si>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</si>
  <si>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</si>
  <si>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</si>
  <si>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</si>
  <si>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</si>
  <si>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</si>
  <si>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</si>
  <si>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</si>
  <si>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</si>
  <si>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</si>
  <si>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</si>
  <si>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</si>
  <si>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</si>
  <si>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</si>
  <si>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</si>
  <si>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</si>
  <si>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</si>
  <si>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</si>
  <si>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</si>
  <si>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</si>
  <si>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</si>
  <si>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</si>
  <si>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</si>
  <si>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</si>
  <si>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</si>
  <si>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</si>
  <si>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</si>
  <si>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</si>
  <si>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</si>
  <si>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</si>
  <si>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</si>
  <si>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</si>
  <si>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</si>
  <si>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</si>
  <si>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</si>
  <si>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</si>
  <si>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</si>
  <si>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</si>
  <si>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</si>
  <si>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</si>
  <si>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</si>
  <si>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</si>
  <si>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</si>
  <si>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</si>
  <si>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</si>
  <si>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</si>
  <si>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</si>
  <si>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</si>
  <si>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</si>
  <si>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</si>
  <si>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</si>
  <si>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</si>
  <si>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</si>
  <si>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</si>
  <si>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</si>
  <si>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</si>
  <si>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</si>
  <si>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</si>
  <si>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</si>
  <si>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</si>
  <si>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</si>
  <si>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</si>
  <si>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</si>
  <si>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</si>
  <si>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</si>
  <si>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</si>
  <si>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</si>
  <si>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</si>
  <si>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</si>
  <si>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</si>
  <si>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</si>
  <si>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</si>
  <si>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</si>
  <si>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</si>
  <si>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</si>
  <si>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</si>
  <si>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</si>
  <si>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</si>
  <si>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</si>
  <si>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</si>
  <si>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</si>
  <si>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</si>
  <si>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</si>
  <si>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</si>
  <si>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</si>
  <si>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</si>
  <si>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</si>
  <si>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</si>
  <si>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</si>
  <si>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</si>
  <si>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</si>
  <si>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</si>
  <si>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</si>
  <si>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</si>
  <si>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</si>
  <si>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</si>
  <si>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</si>
  <si>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</si>
  <si>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</si>
  <si>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</si>
  <si>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</si>
  <si>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</si>
  <si>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</si>
  <si>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</si>
  <si>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</si>
  <si>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</si>
  <si>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</si>
  <si>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</si>
  <si>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</si>
  <si>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</si>
  <si>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</si>
  <si>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</si>
  <si>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</si>
  <si>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</si>
  <si>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</si>
  <si>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</si>
  <si>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</si>
  <si>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</si>
  <si>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</si>
  <si>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</si>
  <si>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</si>
  <si>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</si>
  <si>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</si>
  <si>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</si>
  <si>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</si>
  <si>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</si>
  <si>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</si>
  <si>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</si>
  <si>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</si>
  <si>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</si>
  <si>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9800192200000</t>
  </si>
  <si>
    <t>Oliver Brucker</t>
  </si>
  <si>
    <t>EDM.bnnetze@energiexchange.de</t>
  </si>
  <si>
    <t>Temp. hist. Ø (Monat)</t>
  </si>
  <si>
    <t>Gewichte (Temp.-ZR)    G(Tn)</t>
  </si>
  <si>
    <t>2009 - 2022</t>
  </si>
  <si>
    <t>badenovaNETZE GbmH</t>
  </si>
  <si>
    <t>DE_GBA33</t>
  </si>
  <si>
    <t>AB-Datum</t>
  </si>
  <si>
    <t>BIS-Datum</t>
  </si>
  <si>
    <t>Energie- und Wasserversorgung Kirchzarten GmbH</t>
  </si>
  <si>
    <t>9870103600002</t>
  </si>
  <si>
    <t>Hauptstraße 24</t>
  </si>
  <si>
    <t>Kirchzarten</t>
  </si>
  <si>
    <t>EWK</t>
  </si>
  <si>
    <t>THE0NKH701036000</t>
  </si>
  <si>
    <t>Freiburg-Ebnet</t>
  </si>
  <si>
    <t>Freiburg/Ebnet</t>
  </si>
  <si>
    <t>SLP-Temp-Gebiet#01 | Hist. Monatsdurchschnitt 10804 Freiburg-Ebnet</t>
  </si>
  <si>
    <t>+4976148875352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</si>
</sst>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0" fillId="70" borderId="0" xfId="0" applyFill="1"/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68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0" fontId="94" fillId="37" borderId="22" xfId="0" applyFont="1" applyFill="1" applyBorder="1" applyAlignment="1">
      <alignment horizontal="center"/>
    </xf>
    <xf numFmtId="0" fontId="94" fillId="37" borderId="23" xfId="0" applyFont="1" applyFill="1" applyBorder="1" applyAlignment="1">
      <alignment horizontal="center"/>
    </xf>
    <xf numFmtId="0" fontId="94" fillId="37" borderId="21" xfId="0" applyFont="1" applyFill="1" applyBorder="1" applyAlignment="1">
      <alignment horizontal="center"/>
    </xf>
    <xf numFmtId="14" fontId="95" fillId="70" borderId="69" xfId="0" applyNumberFormat="1" applyFont="1" applyFill="1" applyBorder="1" applyAlignment="1">
      <alignment horizontal="center"/>
    </xf>
    <xf numFmtId="14" fontId="95" fillId="70" borderId="41" xfId="0" applyNumberFormat="1" applyFont="1" applyFill="1" applyBorder="1" applyAlignment="1">
      <alignment horizontal="center"/>
    </xf>
    <xf numFmtId="14" fontId="95" fillId="70" borderId="27" xfId="0" applyNumberFormat="1" applyFont="1" applyFill="1" applyBorder="1" applyAlignment="1">
      <alignment horizontal="center"/>
    </xf>
    <xf numFmtId="14" fontId="95" fillId="70" borderId="26" xfId="0" applyNumberFormat="1" applyFont="1" applyFill="1" applyBorder="1" applyAlignment="1">
      <alignment horizontal="center"/>
    </xf>
    <xf numFmtId="14" fontId="95" fillId="70" borderId="0" xfId="0" applyNumberFormat="1" applyFont="1" applyFill="1" applyAlignment="1">
      <alignment horizontal="center"/>
    </xf>
    <xf numFmtId="192" fontId="94" fillId="70" borderId="21" xfId="0" applyNumberFormat="1" applyFont="1" applyFill="1" applyBorder="1" applyAlignment="1">
      <alignment horizontal="center"/>
    </xf>
    <xf numFmtId="192" fontId="94" fillId="70" borderId="73" xfId="0" applyNumberFormat="1" applyFont="1" applyFill="1" applyBorder="1" applyAlignment="1">
      <alignment horizontal="center"/>
    </xf>
    <xf numFmtId="14" fontId="95" fillId="70" borderId="56" xfId="0" applyNumberFormat="1" applyFont="1" applyFill="1" applyBorder="1" applyAlignment="1">
      <alignment horizontal="center"/>
    </xf>
    <xf numFmtId="192" fontId="94" fillId="70" borderId="25" xfId="0" applyNumberFormat="1" applyFont="1" applyFill="1" applyBorder="1" applyAlignment="1">
      <alignment horizontal="center"/>
    </xf>
    <xf numFmtId="14" fontId="95" fillId="77" borderId="22" xfId="0" applyNumberFormat="1" applyFont="1" applyFill="1" applyBorder="1" applyAlignment="1">
      <alignment horizontal="center"/>
    </xf>
    <xf numFmtId="14" fontId="95" fillId="77" borderId="24" xfId="0" applyNumberFormat="1" applyFont="1" applyFill="1" applyBorder="1" applyAlignment="1">
      <alignment horizontal="center"/>
    </xf>
    <xf numFmtId="14" fontId="95" fillId="77" borderId="69" xfId="0" applyNumberFormat="1" applyFont="1" applyFill="1" applyBorder="1" applyAlignment="1">
      <alignment horizontal="center"/>
    </xf>
    <xf numFmtId="14" fontId="95" fillId="77" borderId="0" xfId="0" applyNumberFormat="1" applyFont="1" applyFill="1" applyAlignment="1">
      <alignment horizontal="center"/>
    </xf>
    <xf numFmtId="14" fontId="95" fillId="77" borderId="27" xfId="0" applyNumberFormat="1" applyFont="1" applyFill="1" applyBorder="1" applyAlignment="1">
      <alignment horizontal="center"/>
    </xf>
    <xf numFmtId="14" fontId="95" fillId="77" borderId="56" xfId="0" applyNumberFormat="1" applyFont="1" applyFill="1" applyBorder="1" applyAlignment="1">
      <alignment horizontal="center"/>
    </xf>
    <xf numFmtId="182" fontId="0" fillId="33" borderId="17" xfId="0" applyNumberFormat="1" applyFill="1" applyBorder="1" applyAlignment="1" applyProtection="1">
      <alignment horizontal="center"/>
      <protection locked="0"/>
    </xf>
    <xf numFmtId="192" fontId="95" fillId="70" borderId="73" xfId="0" applyNumberFormat="1" applyFont="1" applyFill="1" applyBorder="1" applyAlignment="1">
      <alignment horizontal="center"/>
    </xf>
    <xf numFmtId="192" fontId="95" fillId="70" borderId="25" xfId="0" applyNumberFormat="1" applyFont="1" applyFill="1" applyBorder="1" applyAlignment="1">
      <alignment horizontal="center"/>
    </xf>
    <xf numFmtId="192" fontId="95" fillId="70" borderId="21" xfId="0" applyNumberFormat="1" applyFont="1" applyFill="1" applyBorder="1" applyAlignment="1">
      <alignment horizontal="center"/>
    </xf>
    <xf numFmtId="14" fontId="95" fillId="70" borderId="22" xfId="0" applyNumberFormat="1" applyFont="1" applyFill="1" applyBorder="1" applyAlignment="1">
      <alignment horizontal="center"/>
    </xf>
    <xf numFmtId="14" fontId="95" fillId="70" borderId="23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92" fontId="94" fillId="70" borderId="26" xfId="0" applyNumberFormat="1" applyFont="1" applyFill="1" applyBorder="1" applyAlignment="1">
      <alignment horizontal="center"/>
    </xf>
    <xf numFmtId="14" fontId="95" fillId="70" borderId="24" xfId="0" applyNumberFormat="1" applyFont="1" applyFill="1" applyBorder="1" applyAlignment="1">
      <alignment horizontal="center"/>
    </xf>
    <xf numFmtId="0" fontId="0" fillId="33" borderId="17" xfId="0" quotePrefix="1" applyFill="1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39</xdr:row>
      <xdr:rowOff>95250</xdr:rowOff>
    </xdr:from>
    <xdr:to>
      <xdr:col>14</xdr:col>
      <xdr:colOff>1512794</xdr:colOff>
      <xdr:row>47</xdr:row>
      <xdr:rowOff>169259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4A35286-382E-4DBB-9ED1-A7707932F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0400" y="8905875"/>
          <a:ext cx="3332069" cy="1636109"/>
        </a:xfrm>
        <a:prstGeom prst="rect">
          <a:avLst/>
        </a:prstGeom>
        <a:ln w="12700">
          <a:solidFill>
            <a:schemeClr val="tx1">
              <a:lumMod val="75000"/>
              <a:lumOff val="2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E-MAKS/E-MAKS-2-EM/01_Erdgas/01_Bilanzierung/03_Temperaturen/05_Langj&#228;hrige%20Monatsmitteltemperatur/2023/Sicherung_Ver&#246;ffentlichungsdateien/PUB_202310_SLP_Gas_Verfahrensspezifische_Parameter_badenovaNETZE_THE0NKH700074000.xlsx?952390E0" TargetMode="External"/><Relationship Id="rId1" Type="http://schemas.openxmlformats.org/officeDocument/2006/relationships/externalLinkPath" Target="file:///\\952390E0\PUB_202310_SLP_Gas_Verfahrensspezifische_Parameter_badenovaNETZE_THE0NKH700074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Netzbetreiber"/>
      <sheetName val="SLP-Verfahren"/>
      <sheetName val="SLP-Temp-Gebiet#01"/>
      <sheetName val="SLP-Temp-Gebiet#02"/>
      <sheetName val="SLP-Profile"/>
      <sheetName val="SLP-Feiertage"/>
      <sheetName val="BDEW-Standard"/>
      <sheetName val="Wochentag F(WT)"/>
      <sheetName val="HIST_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452</v>
      </c>
    </row>
    <row r="3" spans="2:7"/>
    <row r="4" spans="2:7">
      <c r="B4" s="8" t="s">
        <v>447</v>
      </c>
    </row>
    <row r="5" spans="2:7">
      <c r="B5" s="8" t="s">
        <v>448</v>
      </c>
    </row>
    <row r="6" spans="2:7"/>
    <row r="7" spans="2:7">
      <c r="B7" t="s">
        <v>344</v>
      </c>
    </row>
    <row r="8" spans="2:7" s="8" customFormat="1">
      <c r="B8" s="8" t="s">
        <v>449</v>
      </c>
    </row>
    <row r="9" spans="2:7" s="8" customFormat="1"/>
    <row r="10" spans="2:7" s="8" customFormat="1">
      <c r="B10" s="14" t="s">
        <v>434</v>
      </c>
    </row>
    <row r="11" spans="2:7" s="8" customFormat="1">
      <c r="B11" s="8" t="s">
        <v>487</v>
      </c>
    </row>
    <row r="12" spans="2:7" s="8" customFormat="1">
      <c r="B12" s="8" t="s">
        <v>488</v>
      </c>
    </row>
    <row r="13" spans="2:7" s="8" customFormat="1">
      <c r="B13" s="8" t="s">
        <v>496</v>
      </c>
    </row>
    <row r="14" spans="2:7" s="8" customFormat="1"/>
    <row r="15" spans="2:7">
      <c r="B15" s="20" t="s">
        <v>451</v>
      </c>
      <c r="C15" s="15"/>
    </row>
    <row r="16" spans="2:7">
      <c r="B16" s="15"/>
      <c r="C16" s="15"/>
      <c r="G16" s="10"/>
    </row>
    <row r="17" spans="2:12">
      <c r="B17" s="17" t="s">
        <v>351</v>
      </c>
      <c r="C17" s="15"/>
    </row>
    <row r="18" spans="2:12" s="8" customFormat="1">
      <c r="B18" s="18" t="s">
        <v>345</v>
      </c>
      <c r="C18" s="15"/>
    </row>
    <row r="19" spans="2:12" s="8" customFormat="1">
      <c r="B19" s="18" t="s">
        <v>346</v>
      </c>
      <c r="C19" s="15"/>
    </row>
    <row r="20" spans="2:12">
      <c r="B20" s="17"/>
      <c r="C20" s="15"/>
    </row>
    <row r="21" spans="2:12">
      <c r="B21" s="3" t="s">
        <v>450</v>
      </c>
      <c r="C21" s="15"/>
    </row>
    <row r="22" spans="2:12" s="8" customFormat="1">
      <c r="B22" s="18" t="s">
        <v>347</v>
      </c>
      <c r="C22" s="15"/>
    </row>
    <row r="23" spans="2:12" s="8" customFormat="1">
      <c r="B23" s="18" t="s">
        <v>348</v>
      </c>
      <c r="C23" s="15"/>
    </row>
    <row r="24" spans="2:12">
      <c r="B24" s="17"/>
      <c r="C24" s="15"/>
    </row>
    <row r="25" spans="2:12">
      <c r="B25" s="17" t="s">
        <v>352</v>
      </c>
      <c r="C25" s="15"/>
    </row>
    <row r="26" spans="2:12">
      <c r="B26" s="18" t="s">
        <v>349</v>
      </c>
      <c r="C26" s="15"/>
      <c r="F26" s="8"/>
      <c r="G26" s="8"/>
      <c r="H26" s="8"/>
    </row>
    <row r="27" spans="2:12">
      <c r="B27" s="18" t="s">
        <v>350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353</v>
      </c>
      <c r="C29" s="19">
        <v>43663</v>
      </c>
      <c r="E29" s="8"/>
      <c r="F29" s="8"/>
      <c r="G29" s="8"/>
      <c r="H29" s="8"/>
    </row>
    <row r="30" spans="2:12">
      <c r="B30" s="21" t="s">
        <v>354</v>
      </c>
      <c r="C30" s="337" t="s">
        <v>630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442</v>
      </c>
      <c r="B1" s="127"/>
      <c r="D1" s="216" t="s">
        <v>537</v>
      </c>
    </row>
    <row r="2" spans="1:16">
      <c r="A2" s="236"/>
      <c r="B2" s="235" t="s">
        <v>443</v>
      </c>
    </row>
    <row r="3" spans="1:16" ht="20.100000000000001" customHeight="1">
      <c r="A3" s="400" t="s">
        <v>249</v>
      </c>
      <c r="B3" s="237" t="s">
        <v>86</v>
      </c>
      <c r="C3" s="238"/>
      <c r="D3" s="402" t="s">
        <v>444</v>
      </c>
      <c r="E3" s="403"/>
      <c r="F3" s="403"/>
      <c r="G3" s="403"/>
      <c r="H3" s="403"/>
      <c r="I3" s="403"/>
      <c r="J3" s="404"/>
      <c r="K3" s="239"/>
      <c r="L3" s="239"/>
      <c r="M3" s="239"/>
      <c r="N3" s="239"/>
      <c r="O3" s="240"/>
      <c r="P3" s="239"/>
    </row>
    <row r="4" spans="1:16" ht="20.100000000000001" customHeight="1">
      <c r="A4" s="401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260</v>
      </c>
      <c r="P5" s="247" t="s">
        <v>259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374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374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263</v>
      </c>
      <c r="O11" s="249" t="s">
        <v>261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263</v>
      </c>
      <c r="O12" s="249" t="s">
        <v>261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263</v>
      </c>
      <c r="O13" s="249" t="s">
        <v>261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263</v>
      </c>
      <c r="O14" s="249" t="s">
        <v>261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263</v>
      </c>
      <c r="O15" s="249" t="s">
        <v>261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263</v>
      </c>
      <c r="O16" s="249" t="s">
        <v>261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263</v>
      </c>
      <c r="O17" s="249" t="s">
        <v>262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263</v>
      </c>
      <c r="O18" s="249" t="s">
        <v>262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263</v>
      </c>
      <c r="O19" s="249" t="s">
        <v>262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263</v>
      </c>
      <c r="O20" s="249" t="s">
        <v>262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263</v>
      </c>
      <c r="O21" s="249" t="s">
        <v>262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263</v>
      </c>
      <c r="O22" s="249" t="s">
        <v>262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4" sqref="D2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53.71093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491</v>
      </c>
      <c r="D4" s="27">
        <v>45593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492</v>
      </c>
      <c r="D6" s="27">
        <v>42644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268</v>
      </c>
      <c r="D9" s="41" t="s">
        <v>645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472</v>
      </c>
      <c r="D11" s="351" t="s">
        <v>646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269</v>
      </c>
      <c r="D13" s="41" t="s">
        <v>647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270</v>
      </c>
      <c r="D15" s="384">
        <v>79199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271</v>
      </c>
      <c r="D17" s="41" t="s">
        <v>648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272</v>
      </c>
      <c r="D19" s="41" t="s">
        <v>636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273</v>
      </c>
      <c r="D21" s="43" t="s">
        <v>637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274</v>
      </c>
      <c r="D23" s="407" t="s">
        <v>654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473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446</v>
      </c>
      <c r="D27" s="42" t="s">
        <v>402</v>
      </c>
      <c r="E27" s="39"/>
      <c r="F27" s="11"/>
    </row>
    <row r="28" spans="1:15">
      <c r="B28" s="15"/>
      <c r="C28" s="64" t="s">
        <v>490</v>
      </c>
      <c r="D28" s="46" t="str">
        <f>IF(D27&lt;&gt;C28,VLOOKUP(D27,$C$29:$D$29,2,FALSE),C28)</f>
        <v>EWK</v>
      </c>
      <c r="E28" s="38"/>
      <c r="F28" s="11"/>
      <c r="G28" s="2"/>
    </row>
    <row r="29" spans="1:15">
      <c r="B29" s="15"/>
      <c r="C29" s="22" t="s">
        <v>402</v>
      </c>
      <c r="D29" s="44" t="s">
        <v>649</v>
      </c>
      <c r="E29" s="40"/>
      <c r="F29" s="11"/>
      <c r="G29" s="2"/>
    </row>
    <row r="30" spans="1:15">
      <c r="B30" s="15"/>
      <c r="C30" s="15"/>
      <c r="D30" s="15"/>
      <c r="E30" s="15"/>
      <c r="F30" s="15"/>
    </row>
    <row r="31" spans="1:15"/>
    <row r="32" spans="1:1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</sheetData>
  <conditionalFormatting sqref="D29">
    <cfRule type="expression" dxfId="75" priority="2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$C$28:$C$29</formula1>
    </dataValidation>
  </dataValidations>
  <pageMargins left="0.7" right="0.7" top="0.78740157499999996" bottom="0.78740157499999996" header="0.3" footer="0.3"/>
  <pageSetup paperSize="9" scale="80" orientation="portrait" r:id="rId1"/>
  <ignoredErrors>
    <ignoredError sqref="D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45"/>
  <sheetViews>
    <sheetView showGridLines="0" topLeftCell="A3" zoomScale="80" zoomScaleNormal="80" workbookViewId="0">
      <selection activeCell="C52" sqref="C5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432</v>
      </c>
      <c r="D5" s="56" t="str">
        <f>Netzbetreiber!$D$9</f>
        <v>Energie- und Wasserversorgung Kirchzarten GmbH</v>
      </c>
      <c r="H5" s="66"/>
      <c r="I5" s="66"/>
      <c r="J5" s="66"/>
      <c r="K5" s="66"/>
    </row>
    <row r="6" spans="2:15" ht="15" customHeight="1">
      <c r="B6" s="22"/>
      <c r="C6" s="60" t="s">
        <v>431</v>
      </c>
      <c r="D6" s="56" t="str">
        <f>Netzbetreiber!D28</f>
        <v>EWK</v>
      </c>
      <c r="E6" s="15"/>
      <c r="H6" s="66"/>
      <c r="I6" s="66"/>
      <c r="J6" s="66"/>
      <c r="K6" s="66"/>
    </row>
    <row r="7" spans="2:15" ht="15" customHeight="1">
      <c r="B7" s="22"/>
      <c r="C7" s="58" t="s">
        <v>475</v>
      </c>
      <c r="D7" s="59" t="str">
        <f>Netzbetreiber!$D$11</f>
        <v>9870103600002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42644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593</v>
      </c>
      <c r="D11" s="33" t="s">
        <v>594</v>
      </c>
      <c r="E11" s="15"/>
      <c r="H11" s="275" t="s">
        <v>594</v>
      </c>
      <c r="I11" s="275" t="s">
        <v>595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631</v>
      </c>
      <c r="D13" s="42" t="s">
        <v>650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375</v>
      </c>
      <c r="D15" s="47" t="s">
        <v>266</v>
      </c>
      <c r="E15" s="15"/>
      <c r="H15" s="273" t="s">
        <v>266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567</v>
      </c>
      <c r="I16" s="274" t="s">
        <v>476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477</v>
      </c>
      <c r="I17" s="274" t="s">
        <v>478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591</v>
      </c>
      <c r="D19" s="47" t="s">
        <v>587</v>
      </c>
      <c r="E19" s="15"/>
      <c r="H19" s="271" t="s">
        <v>587</v>
      </c>
      <c r="I19" s="271" t="s">
        <v>588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589</v>
      </c>
      <c r="E20" s="15"/>
      <c r="H20" s="271" t="s">
        <v>590</v>
      </c>
      <c r="I20" s="8" t="s">
        <v>586</v>
      </c>
      <c r="J20" s="8"/>
      <c r="K20" s="8"/>
      <c r="L20" s="272"/>
    </row>
    <row r="21" spans="2:16" ht="15" customHeight="1">
      <c r="B21" s="22"/>
      <c r="C21" s="24" t="s">
        <v>592</v>
      </c>
      <c r="D21" s="24" t="str">
        <f>IF(D19=$H$19,L21,IF(D20=$H$21,M21,N21))</f>
        <v>=&gt;  Q(D) = KW  x  h(T, SLP-Typ)  x  F(WT)</v>
      </c>
      <c r="E21" s="15"/>
      <c r="H21" s="271" t="s">
        <v>589</v>
      </c>
      <c r="I21" s="271" t="s">
        <v>596</v>
      </c>
      <c r="J21" s="8"/>
      <c r="K21" s="8"/>
      <c r="L21" s="274" t="s">
        <v>597</v>
      </c>
      <c r="M21" s="274" t="s">
        <v>599</v>
      </c>
      <c r="N21" s="274" t="s">
        <v>598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570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600</v>
      </c>
      <c r="D24" s="42" t="s">
        <v>601</v>
      </c>
      <c r="E24" s="15"/>
      <c r="H24" s="307" t="s">
        <v>601</v>
      </c>
      <c r="I24" s="273" t="s">
        <v>602</v>
      </c>
      <c r="J24" s="273" t="s">
        <v>603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604</v>
      </c>
      <c r="I25" s="274" t="s">
        <v>605</v>
      </c>
      <c r="J25" s="274" t="s">
        <v>606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607</v>
      </c>
      <c r="I26" s="274" t="s">
        <v>608</v>
      </c>
      <c r="J26" s="274" t="s">
        <v>609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377</v>
      </c>
      <c r="C28" s="6" t="s">
        <v>569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610</v>
      </c>
      <c r="I29" s="274" t="s">
        <v>611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612</v>
      </c>
      <c r="I30" s="271" t="s">
        <v>607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481</v>
      </c>
      <c r="C32" s="24" t="s">
        <v>484</v>
      </c>
      <c r="D32" s="267">
        <v>13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541</v>
      </c>
      <c r="C34" s="5" t="s">
        <v>372</v>
      </c>
      <c r="D34" s="34">
        <v>1500000</v>
      </c>
      <c r="E34" s="15" t="s">
        <v>497</v>
      </c>
      <c r="I34" s="271"/>
      <c r="J34" s="271"/>
      <c r="K34" s="271"/>
      <c r="L34" s="271"/>
      <c r="M34" s="272"/>
    </row>
    <row r="35" spans="2:39" customFormat="1" ht="15" customHeight="1">
      <c r="C35" s="8" t="s">
        <v>479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542</v>
      </c>
      <c r="C37" s="5" t="s">
        <v>373</v>
      </c>
      <c r="D37" s="36">
        <v>500</v>
      </c>
      <c r="E37" s="15" t="s">
        <v>533</v>
      </c>
      <c r="H37" s="66"/>
      <c r="I37" s="66"/>
      <c r="J37" s="66"/>
      <c r="K37" s="66"/>
    </row>
    <row r="38" spans="2:39" ht="15" customHeight="1">
      <c r="C38" s="8" t="s">
        <v>480</v>
      </c>
    </row>
    <row r="39" spans="2:39" ht="15" customHeight="1">
      <c r="B39" s="7"/>
      <c r="C39" s="3"/>
    </row>
    <row r="40" spans="2:39" ht="15" customHeight="1">
      <c r="B40" s="7"/>
      <c r="C40" s="3" t="s">
        <v>532</v>
      </c>
    </row>
    <row r="41" spans="2:39" ht="18" customHeight="1">
      <c r="C41" s="3" t="s">
        <v>534</v>
      </c>
    </row>
    <row r="42" spans="2:39" ht="18" customHeight="1">
      <c r="C42" s="3"/>
    </row>
    <row r="43" spans="2:39" ht="15" customHeight="1">
      <c r="B43" s="22" t="s">
        <v>543</v>
      </c>
      <c r="C43" s="58" t="s">
        <v>568</v>
      </c>
      <c r="D43" s="42">
        <v>2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>
        <f t="shared" ref="I44:V44" si="0">IF(I43&lt;=$D$43,I43,"")</f>
        <v>2</v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578</v>
      </c>
      <c r="D45" s="352" t="s">
        <v>651</v>
      </c>
    </row>
  </sheetData>
  <conditionalFormatting sqref="D13">
    <cfRule type="expression" dxfId="74" priority="23">
      <formula>IF(#REF!="Gaspool",1,0)</formula>
    </cfRule>
  </conditionalFormatting>
  <conditionalFormatting sqref="D20">
    <cfRule type="expression" dxfId="73" priority="17">
      <formula>IF($D$19=$H$19,1,0)</formula>
    </cfRule>
  </conditionalFormatting>
  <conditionalFormatting sqref="D28">
    <cfRule type="expression" dxfId="72" priority="6">
      <formula>IF($D$15="synthetisch",1,0)</formula>
    </cfRule>
  </conditionalFormatting>
  <conditionalFormatting sqref="D25">
    <cfRule type="expression" dxfId="71" priority="4">
      <formula>IF(AND($D$24=$I$24,$D$23=$H$23),1,0)</formula>
    </cfRule>
  </conditionalFormatting>
  <conditionalFormatting sqref="D23:D25">
    <cfRule type="expression" dxfId="70" priority="7">
      <formula>IF($D$15="analytisch",1,0)</formula>
    </cfRule>
  </conditionalFormatting>
  <conditionalFormatting sqref="D24">
    <cfRule type="expression" dxfId="69" priority="5">
      <formula>IF($D$23="nein",1)</formula>
    </cfRule>
  </conditionalFormatting>
  <conditionalFormatting sqref="D45">
    <cfRule type="expression" dxfId="68" priority="66">
      <formula>IF(CELL("Zeile",D45)&lt;#REF!+CELL("Zeile",$D$47),1,0)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BD79"/>
  <sheetViews>
    <sheetView showGridLines="0" zoomScale="85" zoomScaleNormal="85" workbookViewId="0">
      <selection activeCell="E68" sqref="E68"/>
    </sheetView>
  </sheetViews>
  <sheetFormatPr baseColWidth="10" defaultColWidth="1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6" width="20.42578125" style="127" bestFit="1" customWidth="1"/>
    <col min="7" max="7" width="11.140625" style="127" bestFit="1" customWidth="1"/>
    <col min="8" max="8" width="11.42578125" style="127" customWidth="1"/>
    <col min="9" max="9" width="21.85546875" style="127" customWidth="1"/>
    <col min="10" max="14" width="8.85546875" style="127" customWidth="1"/>
    <col min="15" max="15" width="37.42578125" style="127" customWidth="1"/>
    <col min="16" max="16" width="7.28515625" style="169" customWidth="1"/>
    <col min="17" max="17" width="7.28515625" style="208" customWidth="1"/>
    <col min="18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1" style="55" customWidth="1"/>
    <col min="127" max="16384" width="1" style="55"/>
  </cols>
  <sheetData>
    <row r="1" spans="2:56" ht="75" customHeight="1"/>
    <row r="2" spans="2:56" ht="23.25">
      <c r="B2" s="170" t="s">
        <v>536</v>
      </c>
    </row>
    <row r="3" spans="2:56" ht="15" customHeight="1">
      <c r="B3" s="170"/>
    </row>
    <row r="4" spans="2:56">
      <c r="B4" s="129"/>
      <c r="C4" s="54" t="s">
        <v>432</v>
      </c>
      <c r="D4" s="55"/>
      <c r="E4" s="56" t="s">
        <v>641</v>
      </c>
      <c r="F4" s="129"/>
      <c r="M4" s="129"/>
      <c r="N4" s="129"/>
      <c r="O4" s="129"/>
    </row>
    <row r="5" spans="2:56">
      <c r="B5" s="129"/>
      <c r="C5" s="54" t="s">
        <v>431</v>
      </c>
      <c r="D5" s="55"/>
      <c r="E5" s="56" t="str">
        <f>Netzbetreiber!D28</f>
        <v>EWK</v>
      </c>
      <c r="F5" s="129"/>
      <c r="G5" s="129"/>
      <c r="H5" s="129"/>
      <c r="M5" s="129"/>
      <c r="N5" s="129"/>
      <c r="O5" s="129"/>
    </row>
    <row r="6" spans="2:56">
      <c r="B6" s="129"/>
      <c r="C6" s="58" t="s">
        <v>475</v>
      </c>
      <c r="D6" s="55"/>
      <c r="E6" s="59" t="s">
        <v>635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7" t="s">
        <v>486</v>
      </c>
      <c r="J8" s="129"/>
      <c r="K8" s="129"/>
      <c r="L8" s="129"/>
      <c r="M8" s="129"/>
      <c r="N8" s="129"/>
      <c r="O8" s="129"/>
    </row>
    <row r="9" spans="2:56">
      <c r="B9" s="129"/>
      <c r="C9" s="58" t="s">
        <v>514</v>
      </c>
      <c r="D9" s="129"/>
      <c r="E9" s="129"/>
      <c r="F9" s="153">
        <f>'SLP-Verfahren'!D43</f>
        <v>2</v>
      </c>
      <c r="H9" s="171" t="s">
        <v>579</v>
      </c>
      <c r="J9" s="129"/>
      <c r="K9" s="129"/>
      <c r="L9" s="129"/>
      <c r="M9" s="129"/>
      <c r="N9" s="129"/>
      <c r="O9" s="129"/>
    </row>
    <row r="10" spans="2:56">
      <c r="B10" s="129"/>
      <c r="C10" s="54" t="s">
        <v>577</v>
      </c>
      <c r="D10" s="129"/>
      <c r="E10" s="129"/>
      <c r="F10" s="298">
        <v>1</v>
      </c>
      <c r="G10" s="55"/>
      <c r="H10" s="171" t="s">
        <v>580</v>
      </c>
      <c r="J10" s="129"/>
      <c r="K10" s="129"/>
      <c r="L10" s="129"/>
      <c r="M10" s="129"/>
      <c r="N10" s="129"/>
      <c r="O10" s="129"/>
    </row>
    <row r="11" spans="2:56">
      <c r="B11" s="129"/>
      <c r="C11" s="54" t="s">
        <v>581</v>
      </c>
      <c r="D11" s="129"/>
      <c r="E11" s="129"/>
      <c r="F11" s="295" t="str">
        <f>INDEX('SLP-Verfahren'!D45:D45,'SLP-Temp-Gebiet #01'!F10)</f>
        <v>Freiburg-Ebnet</v>
      </c>
      <c r="G11" s="299"/>
      <c r="H11" s="297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90" t="s">
        <v>576</v>
      </c>
      <c r="D13" s="390"/>
      <c r="E13" s="390"/>
      <c r="F13" s="182" t="s">
        <v>540</v>
      </c>
      <c r="G13" s="129" t="s">
        <v>538</v>
      </c>
      <c r="H13" s="264" t="s">
        <v>555</v>
      </c>
      <c r="I13" s="55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91" t="s">
        <v>435</v>
      </c>
      <c r="D14" s="391"/>
      <c r="E14" s="88" t="s">
        <v>436</v>
      </c>
      <c r="F14" s="265" t="s">
        <v>85</v>
      </c>
      <c r="G14" s="266" t="s">
        <v>564</v>
      </c>
      <c r="H14" s="49">
        <v>0</v>
      </c>
      <c r="I14" s="55"/>
      <c r="J14" s="129"/>
      <c r="K14" s="129"/>
      <c r="L14" s="129"/>
      <c r="M14" s="129"/>
      <c r="N14" s="129"/>
      <c r="O14" s="172" t="s">
        <v>519</v>
      </c>
      <c r="R14" s="208" t="s">
        <v>556</v>
      </c>
      <c r="S14" s="208" t="s">
        <v>557</v>
      </c>
      <c r="T14" s="208" t="s">
        <v>558</v>
      </c>
      <c r="U14" s="208" t="s">
        <v>559</v>
      </c>
      <c r="V14" s="208" t="s">
        <v>539</v>
      </c>
      <c r="W14" s="208" t="s">
        <v>560</v>
      </c>
      <c r="X14" s="208" t="s">
        <v>561</v>
      </c>
      <c r="Y14" s="208" t="s">
        <v>562</v>
      </c>
      <c r="Z14" s="208" t="s">
        <v>563</v>
      </c>
      <c r="AA14" s="208" t="s">
        <v>564</v>
      </c>
      <c r="AB14" s="208" t="s">
        <v>565</v>
      </c>
      <c r="AC14" s="208" t="s">
        <v>566</v>
      </c>
    </row>
    <row r="15" spans="2:56" ht="19.5" customHeight="1">
      <c r="B15" s="129"/>
      <c r="C15" s="391" t="s">
        <v>394</v>
      </c>
      <c r="D15" s="391"/>
      <c r="E15" s="88" t="s">
        <v>436</v>
      </c>
      <c r="F15" s="265" t="s">
        <v>71</v>
      </c>
      <c r="G15" s="266" t="s">
        <v>558</v>
      </c>
      <c r="H15" s="49">
        <v>0</v>
      </c>
      <c r="I15" s="55"/>
      <c r="J15" s="129"/>
      <c r="K15" s="129"/>
      <c r="L15" s="129"/>
      <c r="M15" s="129"/>
      <c r="N15" s="129"/>
      <c r="O15" s="160" t="s">
        <v>493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377</v>
      </c>
      <c r="AH15" s="263" t="s">
        <v>481</v>
      </c>
      <c r="AI15" s="263" t="s">
        <v>541</v>
      </c>
      <c r="AJ15" s="263" t="s">
        <v>542</v>
      </c>
      <c r="AK15" s="263" t="s">
        <v>543</v>
      </c>
      <c r="AL15" s="263" t="s">
        <v>544</v>
      </c>
      <c r="AM15" s="263" t="s">
        <v>545</v>
      </c>
      <c r="AN15" s="263" t="s">
        <v>546</v>
      </c>
      <c r="AO15" s="263" t="s">
        <v>547</v>
      </c>
      <c r="AP15" s="263" t="s">
        <v>548</v>
      </c>
      <c r="AQ15" s="263" t="s">
        <v>549</v>
      </c>
      <c r="AR15" s="263" t="s">
        <v>550</v>
      </c>
      <c r="AS15" s="263" t="s">
        <v>551</v>
      </c>
      <c r="AT15" s="263" t="s">
        <v>552</v>
      </c>
      <c r="AU15" s="263" t="s">
        <v>553</v>
      </c>
      <c r="AV15" s="263" t="s">
        <v>554</v>
      </c>
      <c r="AW15" s="263"/>
      <c r="AX15" s="263"/>
      <c r="AY15" s="263"/>
      <c r="AZ15" s="263"/>
      <c r="BA15" s="263"/>
      <c r="BB15" s="263"/>
      <c r="BC15" s="263"/>
      <c r="BD15" s="263"/>
    </row>
    <row r="16" spans="2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509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515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1</v>
      </c>
      <c r="H19" s="177">
        <f t="shared" si="0"/>
        <v>1</v>
      </c>
      <c r="I19" s="177">
        <f t="shared" si="0"/>
        <v>1</v>
      </c>
      <c r="J19" s="177">
        <f t="shared" si="0"/>
        <v>1</v>
      </c>
      <c r="K19" s="177">
        <f t="shared" si="0"/>
        <v>1</v>
      </c>
      <c r="L19" s="177">
        <f t="shared" si="0"/>
        <v>1</v>
      </c>
      <c r="M19" s="177">
        <f t="shared" si="0"/>
        <v>1</v>
      </c>
      <c r="N19" s="177">
        <f t="shared" si="0"/>
        <v>1</v>
      </c>
      <c r="O19" s="129"/>
    </row>
    <row r="20" spans="1:28" ht="33.75" customHeight="1">
      <c r="B20" s="129"/>
      <c r="C20" s="178" t="s">
        <v>510</v>
      </c>
      <c r="D20" s="179" t="s">
        <v>505</v>
      </c>
      <c r="E20" s="180">
        <v>1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517</v>
      </c>
      <c r="D21" s="152" t="s">
        <v>507</v>
      </c>
      <c r="E21" s="288">
        <f>1-SUMPRODUCT(F19:N19,F21:N21)</f>
        <v>1</v>
      </c>
      <c r="F21" s="288"/>
      <c r="G21" s="289"/>
      <c r="H21" s="289"/>
      <c r="I21" s="289"/>
      <c r="J21" s="289"/>
      <c r="K21" s="289"/>
      <c r="L21" s="289"/>
      <c r="M21" s="289"/>
      <c r="N21" s="289"/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529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58" t="s">
        <v>493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84" t="s">
        <v>142</v>
      </c>
      <c r="Q23" s="210"/>
      <c r="R23" s="66" t="s">
        <v>139</v>
      </c>
      <c r="S23" s="66" t="s">
        <v>493</v>
      </c>
      <c r="T23" s="296" t="str">
        <f>O15</f>
        <v>MeteoGroup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512</v>
      </c>
      <c r="D24" s="187"/>
      <c r="E24" s="358" t="s">
        <v>652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513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506</v>
      </c>
      <c r="D25" s="187"/>
      <c r="E25" s="358">
        <v>10804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359" t="s">
        <v>494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208" t="s">
        <v>494</v>
      </c>
      <c r="S26" s="208" t="s">
        <v>633</v>
      </c>
      <c r="T26" s="208" t="s">
        <v>634</v>
      </c>
      <c r="U26" s="208" t="s">
        <v>495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632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/>
      </c>
      <c r="F27" s="348" t="str">
        <f>IF(F26="Individuelle GPT",CONCATENATE(Netzbetreiber!$D$11,'SLP-Temp-Gebiet #01'!F25,"B"),IF('SLP-Temp-Gebiet #01'!F26="Allgemeine GPT",CONCATENATE(Netzbetreiber!$D$11,'SLP-Temp-Gebiet #01'!F25,"A"),""))</f>
        <v/>
      </c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494</v>
      </c>
      <c r="S27" s="208" t="s">
        <v>495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511</v>
      </c>
      <c r="D29" s="129"/>
      <c r="E29" s="129"/>
      <c r="F29" s="47">
        <v>5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1">IF(F31&gt;$F$29,0,1)</f>
        <v>1</v>
      </c>
      <c r="G30" s="177">
        <f t="shared" si="1"/>
        <v>1</v>
      </c>
      <c r="H30" s="177">
        <f t="shared" si="1"/>
        <v>1</v>
      </c>
      <c r="I30" s="177">
        <f t="shared" si="1"/>
        <v>1</v>
      </c>
      <c r="J30" s="177">
        <f t="shared" si="1"/>
        <v>0</v>
      </c>
      <c r="K30" s="177">
        <f t="shared" si="1"/>
        <v>0</v>
      </c>
      <c r="L30" s="177">
        <f t="shared" si="1"/>
        <v>0</v>
      </c>
      <c r="M30" s="177">
        <f t="shared" si="1"/>
        <v>0</v>
      </c>
      <c r="N30" s="177">
        <f t="shared" si="1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265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518</v>
      </c>
      <c r="D32" s="185" t="s">
        <v>264</v>
      </c>
      <c r="E32" s="286">
        <f>1-SUMPRODUCT(F30:N30,F32:N32)</f>
        <v>0.41069999999999995</v>
      </c>
      <c r="F32" s="286">
        <f>ROUND(F33/$D$33,4)</f>
        <v>0.20530000000000001</v>
      </c>
      <c r="G32" s="354">
        <f t="shared" ref="G32:I32" si="2">ROUND(G33/$D$33,4)</f>
        <v>0.1027</v>
      </c>
      <c r="H32" s="354">
        <f t="shared" si="2"/>
        <v>5.1299999999999998E-2</v>
      </c>
      <c r="I32" s="354">
        <f t="shared" si="2"/>
        <v>0.23</v>
      </c>
      <c r="J32" s="286">
        <f t="shared" ref="J32:N32" si="3">ROUND(J33/$D$33,4)</f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639</v>
      </c>
      <c r="D33" s="292">
        <f>SUMPRODUCT(E33:N33,E30:N30)</f>
        <v>1.875</v>
      </c>
      <c r="E33" s="287">
        <v>0.77</v>
      </c>
      <c r="F33" s="287">
        <v>0.38500000000000001</v>
      </c>
      <c r="G33" s="355">
        <v>0.1925</v>
      </c>
      <c r="H33" s="355">
        <v>9.6250000000000002E-2</v>
      </c>
      <c r="I33" s="356">
        <v>0.43125000000000002</v>
      </c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368</v>
      </c>
      <c r="D34" s="152" t="s">
        <v>367</v>
      </c>
      <c r="E34" s="155" t="s">
        <v>3</v>
      </c>
      <c r="F34" s="155" t="s">
        <v>366</v>
      </c>
      <c r="G34" s="353" t="s">
        <v>357</v>
      </c>
      <c r="H34" s="353" t="s">
        <v>358</v>
      </c>
      <c r="I34" s="353" t="s">
        <v>640</v>
      </c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366</v>
      </c>
      <c r="T34" s="66" t="s">
        <v>357</v>
      </c>
      <c r="U34" s="66" t="s">
        <v>358</v>
      </c>
      <c r="V34" s="66" t="s">
        <v>359</v>
      </c>
      <c r="W34" s="66" t="s">
        <v>360</v>
      </c>
      <c r="X34" s="66" t="s">
        <v>361</v>
      </c>
      <c r="Y34" s="66" t="s">
        <v>362</v>
      </c>
      <c r="Z34" s="66" t="s">
        <v>363</v>
      </c>
      <c r="AA34" s="66" t="s">
        <v>364</v>
      </c>
      <c r="AB34" s="66" t="s">
        <v>365</v>
      </c>
    </row>
    <row r="35" spans="2:28">
      <c r="B35" s="182"/>
      <c r="C35" s="186" t="s">
        <v>438</v>
      </c>
      <c r="D35" s="152" t="s">
        <v>437</v>
      </c>
      <c r="E35" s="155" t="s">
        <v>503</v>
      </c>
      <c r="F35" s="155" t="s">
        <v>503</v>
      </c>
      <c r="G35" s="353" t="s">
        <v>503</v>
      </c>
      <c r="H35" s="353" t="s">
        <v>503</v>
      </c>
      <c r="I35" s="353" t="s">
        <v>503</v>
      </c>
      <c r="J35" s="161"/>
      <c r="K35" s="161"/>
      <c r="L35" s="161"/>
      <c r="M35" s="161"/>
      <c r="N35" s="161"/>
      <c r="O35" s="184" t="s">
        <v>142</v>
      </c>
      <c r="Q35" s="210"/>
      <c r="R35" s="66" t="s">
        <v>503</v>
      </c>
      <c r="S35" s="66" t="s">
        <v>504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583</v>
      </c>
      <c r="D36" s="152" t="s">
        <v>584</v>
      </c>
      <c r="E36" s="155" t="s">
        <v>585</v>
      </c>
      <c r="F36" s="155" t="s">
        <v>585</v>
      </c>
      <c r="G36" s="353" t="s">
        <v>585</v>
      </c>
      <c r="H36" s="353" t="s">
        <v>585</v>
      </c>
      <c r="I36" s="353" t="s">
        <v>585</v>
      </c>
      <c r="J36" s="155" t="s">
        <v>582</v>
      </c>
      <c r="K36" s="155" t="s">
        <v>582</v>
      </c>
      <c r="L36" s="155" t="s">
        <v>582</v>
      </c>
      <c r="M36" s="155" t="s">
        <v>582</v>
      </c>
      <c r="N36" s="155" t="s">
        <v>582</v>
      </c>
      <c r="O36" s="184" t="s">
        <v>142</v>
      </c>
      <c r="Q36" s="210"/>
      <c r="R36" s="66" t="s">
        <v>582</v>
      </c>
      <c r="S36" s="66" t="s">
        <v>585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430</v>
      </c>
      <c r="D37" s="118" t="s">
        <v>530</v>
      </c>
      <c r="E37" s="161" t="s">
        <v>439</v>
      </c>
      <c r="F37" s="161" t="s">
        <v>439</v>
      </c>
      <c r="G37" s="357" t="s">
        <v>440</v>
      </c>
      <c r="H37" s="357" t="s">
        <v>440</v>
      </c>
      <c r="I37" s="357" t="s">
        <v>638</v>
      </c>
      <c r="J37" s="161"/>
      <c r="K37" s="161"/>
      <c r="L37" s="161"/>
      <c r="M37" s="161"/>
      <c r="N37" s="161"/>
      <c r="O37" s="184" t="s">
        <v>142</v>
      </c>
      <c r="Q37" s="210"/>
      <c r="R37" s="66" t="s">
        <v>440</v>
      </c>
      <c r="S37" s="66" t="s">
        <v>439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276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356</v>
      </c>
      <c r="D40" s="197"/>
      <c r="E40" s="197" t="s">
        <v>523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516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522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527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528</v>
      </c>
      <c r="D47" s="200" t="s">
        <v>526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369</v>
      </c>
      <c r="K47" s="197"/>
      <c r="L47" s="197"/>
      <c r="M47" s="197"/>
      <c r="N47" s="197"/>
      <c r="O47" s="198"/>
    </row>
    <row r="48" spans="2:28">
      <c r="B48" s="192"/>
      <c r="C48" s="199" t="s">
        <v>355</v>
      </c>
      <c r="D48" s="200" t="s">
        <v>526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369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571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535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510</v>
      </c>
      <c r="D55" s="179" t="s">
        <v>505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517</v>
      </c>
      <c r="D56" s="152" t="s">
        <v>507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529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>
        <f t="shared" si="7"/>
        <v>0</v>
      </c>
      <c r="H58" s="155">
        <f t="shared" si="7"/>
        <v>0</v>
      </c>
      <c r="I58" s="155">
        <f t="shared" si="7"/>
        <v>0</v>
      </c>
      <c r="J58" s="155">
        <f t="shared" si="7"/>
        <v>0</v>
      </c>
      <c r="K58" s="155">
        <f t="shared" si="7"/>
        <v>0</v>
      </c>
      <c r="L58" s="155">
        <f t="shared" si="7"/>
        <v>0</v>
      </c>
      <c r="M58" s="155">
        <f t="shared" si="7"/>
        <v>0</v>
      </c>
      <c r="N58" s="155">
        <f t="shared" si="7"/>
        <v>0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512</v>
      </c>
      <c r="D59" s="187"/>
      <c r="E59" s="155" t="str">
        <f>E24</f>
        <v>Freiburg/Ebnet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513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506</v>
      </c>
      <c r="D60" s="187"/>
      <c r="E60" s="159">
        <f>E25</f>
        <v>10804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tr">
        <f>E26</f>
        <v>Temp. (2m)</v>
      </c>
      <c r="F61" s="157">
        <f t="shared" ref="F61:N61" si="10">F26</f>
        <v>0</v>
      </c>
      <c r="G61" s="157">
        <f t="shared" si="10"/>
        <v>0</v>
      </c>
      <c r="H61" s="157">
        <f t="shared" si="10"/>
        <v>0</v>
      </c>
      <c r="I61" s="157">
        <f t="shared" si="10"/>
        <v>0</v>
      </c>
      <c r="J61" s="157">
        <f t="shared" si="10"/>
        <v>0</v>
      </c>
      <c r="K61" s="157">
        <f t="shared" si="10"/>
        <v>0</v>
      </c>
      <c r="L61" s="157">
        <f t="shared" si="10"/>
        <v>0</v>
      </c>
      <c r="M61" s="157">
        <f t="shared" si="10"/>
        <v>0</v>
      </c>
      <c r="N61" s="157">
        <f t="shared" si="10"/>
        <v>0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511</v>
      </c>
      <c r="D63" s="129"/>
      <c r="E63" s="129"/>
      <c r="F63" s="156">
        <f>F29</f>
        <v>5</v>
      </c>
    </row>
    <row r="64" spans="2:28" ht="15" customHeight="1">
      <c r="E64" s="177">
        <f>IF(E65&gt;$F$63,0,1)</f>
        <v>1</v>
      </c>
      <c r="F64" s="177">
        <f t="shared" ref="F64:N64" si="11">IF(F65&gt;$F$63,0,1)</f>
        <v>1</v>
      </c>
      <c r="G64" s="177">
        <f t="shared" si="11"/>
        <v>1</v>
      </c>
      <c r="H64" s="177">
        <f t="shared" si="11"/>
        <v>1</v>
      </c>
      <c r="I64" s="177">
        <f t="shared" si="11"/>
        <v>1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265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518</v>
      </c>
      <c r="D66" s="185" t="s">
        <v>264</v>
      </c>
      <c r="E66" s="286">
        <f>1-SUMPRODUCT(F64:N64,F66:N66)</f>
        <v>1</v>
      </c>
      <c r="F66" s="286"/>
      <c r="G66" s="286"/>
      <c r="H66" s="286"/>
      <c r="I66" s="286"/>
      <c r="J66" s="286">
        <f t="shared" ref="J66:N66" si="12">ROUND(J67/$D$67,4)</f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525</v>
      </c>
      <c r="D67" s="185">
        <f>SUMPRODUCT(E67:N67,E64:N64)</f>
        <v>1</v>
      </c>
      <c r="E67" s="294">
        <v>1</v>
      </c>
      <c r="F67" s="294"/>
      <c r="G67" s="294"/>
      <c r="H67" s="294"/>
      <c r="I67" s="294"/>
      <c r="J67" s="294">
        <f t="shared" ref="J67:N67" si="13">J33</f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368</v>
      </c>
      <c r="D68" s="152" t="s">
        <v>367</v>
      </c>
      <c r="E68" s="155" t="str">
        <f>E34</f>
        <v>D</v>
      </c>
      <c r="F68" s="155"/>
      <c r="G68" s="155"/>
      <c r="H68" s="155"/>
      <c r="I68" s="155"/>
      <c r="J68" s="155">
        <f t="shared" ref="J68:N68" si="14">J34</f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438</v>
      </c>
      <c r="D69" s="152" t="s">
        <v>437</v>
      </c>
      <c r="E69" s="158" t="str">
        <f>E35</f>
        <v>Gastag</v>
      </c>
      <c r="F69" s="158"/>
      <c r="G69" s="158"/>
      <c r="H69" s="158"/>
      <c r="I69" s="161"/>
      <c r="J69" s="161">
        <f t="shared" ref="J69:N69" si="15">J35</f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583</v>
      </c>
      <c r="D70" s="152" t="s">
        <v>584</v>
      </c>
      <c r="E70" s="158" t="str">
        <f>E36</f>
        <v>UCT</v>
      </c>
      <c r="F70" s="158"/>
      <c r="G70" s="158"/>
      <c r="H70" s="158"/>
      <c r="I70" s="161"/>
      <c r="J70" s="161" t="str">
        <f t="shared" ref="J70:N70" si="16">J36</f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430</v>
      </c>
      <c r="D71" s="118" t="s">
        <v>530</v>
      </c>
      <c r="E71" s="162" t="s">
        <v>440</v>
      </c>
      <c r="F71" s="162"/>
      <c r="G71" s="162"/>
      <c r="H71" s="162"/>
      <c r="I71" s="162"/>
      <c r="J71" s="162">
        <f t="shared" ref="J71:N71" si="17">J37</f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92" t="s">
        <v>572</v>
      </c>
      <c r="D73" s="392"/>
      <c r="E73" s="392"/>
      <c r="F73" s="39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67" priority="65">
      <formula>IF(E$20&lt;=$F$18,1,0)</formula>
    </cfRule>
  </conditionalFormatting>
  <conditionalFormatting sqref="E33:F37 J33:N37">
    <cfRule type="expression" dxfId="66" priority="64">
      <formula>IF(E$31&lt;=$F$29,1,0)</formula>
    </cfRule>
  </conditionalFormatting>
  <conditionalFormatting sqref="E26:N26">
    <cfRule type="expression" dxfId="65" priority="63">
      <formula>IF(E$20&lt;=$F$18,1,0)</formula>
    </cfRule>
  </conditionalFormatting>
  <conditionalFormatting sqref="E26:N26">
    <cfRule type="expression" dxfId="64" priority="62">
      <formula>IF(E$20&lt;=$F$18,1,0)</formula>
    </cfRule>
  </conditionalFormatting>
  <conditionalFormatting sqref="E57:N60">
    <cfRule type="expression" dxfId="63" priority="59">
      <formula>IF(E$55&lt;=$F$53,1,0)</formula>
    </cfRule>
  </conditionalFormatting>
  <conditionalFormatting sqref="E61:N61">
    <cfRule type="expression" dxfId="62" priority="58">
      <formula>IF(E$55&lt;=$F$53,1,0)</formula>
    </cfRule>
  </conditionalFormatting>
  <conditionalFormatting sqref="E67:N69">
    <cfRule type="expression" dxfId="61" priority="52">
      <formula>IF(E$65&lt;=$F$63,1,0)</formula>
    </cfRule>
  </conditionalFormatting>
  <conditionalFormatting sqref="E66:N69 E71:N71">
    <cfRule type="expression" dxfId="60" priority="50">
      <formula>IF(E$65&gt;$F$63,1,0)</formula>
    </cfRule>
  </conditionalFormatting>
  <conditionalFormatting sqref="E57:N61">
    <cfRule type="expression" dxfId="59" priority="49">
      <formula>IF(E$55&gt;$F$53,1,0)</formula>
    </cfRule>
  </conditionalFormatting>
  <conditionalFormatting sqref="E21:N22 E26:N26 F23:N25">
    <cfRule type="expression" dxfId="58" priority="48">
      <formula>IF(E$20&gt;$F$18,1,0)</formula>
    </cfRule>
  </conditionalFormatting>
  <conditionalFormatting sqref="E33:F37 J33:N37">
    <cfRule type="expression" dxfId="57" priority="47">
      <formula>IF(E$31&gt;$F$29,1,0)</formula>
    </cfRule>
  </conditionalFormatting>
  <conditionalFormatting sqref="H11 H8:H9">
    <cfRule type="expression" dxfId="56" priority="46">
      <formula>IF($F$9=1,1,0)</formula>
    </cfRule>
  </conditionalFormatting>
  <conditionalFormatting sqref="E56:N56">
    <cfRule type="expression" dxfId="55" priority="45">
      <formula>IF(E$55&gt;$F$53,1,0)</formula>
    </cfRule>
  </conditionalFormatting>
  <conditionalFormatting sqref="E32:F32 J32:N32">
    <cfRule type="expression" dxfId="54" priority="44">
      <formula>IF(E$31&gt;$F$29,1,0)</formula>
    </cfRule>
  </conditionalFormatting>
  <conditionalFormatting sqref="E71:N71">
    <cfRule type="expression" dxfId="53" priority="43">
      <formula>IF(E$65&lt;=$F$63,1,0)</formula>
    </cfRule>
  </conditionalFormatting>
  <conditionalFormatting sqref="H10">
    <cfRule type="expression" dxfId="52" priority="42">
      <formula>IF($F$9=1,1,0)</formula>
    </cfRule>
  </conditionalFormatting>
  <conditionalFormatting sqref="E70:N70">
    <cfRule type="expression" dxfId="51" priority="39">
      <formula>IF(E$65&lt;=$F$63,1,0)</formula>
    </cfRule>
  </conditionalFormatting>
  <conditionalFormatting sqref="E70:N70">
    <cfRule type="expression" dxfId="50" priority="38">
      <formula>IF(E$65&gt;$F$63,1,0)</formula>
    </cfRule>
  </conditionalFormatting>
  <conditionalFormatting sqref="E23:E25">
    <cfRule type="expression" dxfId="49" priority="37">
      <formula>IF(E$20&lt;=$F$18,1,0)</formula>
    </cfRule>
  </conditionalFormatting>
  <conditionalFormatting sqref="E23:E25">
    <cfRule type="expression" dxfId="48" priority="36">
      <formula>IF(E$20&gt;$F$18,1,0)</formula>
    </cfRule>
  </conditionalFormatting>
  <conditionalFormatting sqref="G34:G37">
    <cfRule type="expression" dxfId="47" priority="20">
      <formula>IF(G$31&lt;=$F$29,1,0)</formula>
    </cfRule>
  </conditionalFormatting>
  <conditionalFormatting sqref="G34:G37">
    <cfRule type="expression" dxfId="46" priority="19">
      <formula>IF(G$31&gt;$F$29,1,0)</formula>
    </cfRule>
  </conditionalFormatting>
  <conditionalFormatting sqref="G32">
    <cfRule type="expression" dxfId="45" priority="18">
      <formula>IF(G$31&gt;$F$29,1,0)</formula>
    </cfRule>
  </conditionalFormatting>
  <conditionalFormatting sqref="G33">
    <cfRule type="expression" dxfId="44" priority="17">
      <formula>IF(G$31&lt;=$F$29,1,0)</formula>
    </cfRule>
  </conditionalFormatting>
  <conditionalFormatting sqref="G33">
    <cfRule type="expression" dxfId="43" priority="16">
      <formula>IF(G$31&gt;$F$29,1,0)</formula>
    </cfRule>
  </conditionalFormatting>
  <conditionalFormatting sqref="H34:H37">
    <cfRule type="expression" dxfId="42" priority="15">
      <formula>IF(H$31&lt;=$F$29,1,0)</formula>
    </cfRule>
  </conditionalFormatting>
  <conditionalFormatting sqref="H34:H37">
    <cfRule type="expression" dxfId="41" priority="14">
      <formula>IF(H$31&gt;$F$29,1,0)</formula>
    </cfRule>
  </conditionalFormatting>
  <conditionalFormatting sqref="H32">
    <cfRule type="expression" dxfId="40" priority="13">
      <formula>IF(H$31&gt;$F$29,1,0)</formula>
    </cfRule>
  </conditionalFormatting>
  <conditionalFormatting sqref="H33">
    <cfRule type="expression" dxfId="39" priority="12">
      <formula>IF(H$31&lt;=$F$29,1,0)</formula>
    </cfRule>
  </conditionalFormatting>
  <conditionalFormatting sqref="H33">
    <cfRule type="expression" dxfId="38" priority="11">
      <formula>IF(H$31&gt;$F$29,1,0)</formula>
    </cfRule>
  </conditionalFormatting>
  <conditionalFormatting sqref="I34:I37">
    <cfRule type="expression" dxfId="37" priority="5">
      <formula>IF(I$31&lt;=$F$29,1,0)</formula>
    </cfRule>
  </conditionalFormatting>
  <conditionalFormatting sqref="I34:I37">
    <cfRule type="expression" dxfId="36" priority="4">
      <formula>IF(I$31&gt;$F$29,1,0)</formula>
    </cfRule>
  </conditionalFormatting>
  <conditionalFormatting sqref="I32">
    <cfRule type="expression" dxfId="35" priority="3">
      <formula>IF(I$31&gt;$F$29,1,0)</formula>
    </cfRule>
  </conditionalFormatting>
  <conditionalFormatting sqref="I33">
    <cfRule type="expression" dxfId="34" priority="2">
      <formula>IF(I$31&lt;=$F$29,1,0)</formula>
    </cfRule>
  </conditionalFormatting>
  <conditionalFormatting sqref="I33">
    <cfRule type="expression" dxfId="33" priority="1">
      <formula>IF(I$31&gt;$F$29,1,0)</formula>
    </cfRule>
  </conditionalFormatting>
  <dataValidations count="16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H37 J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H34 J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  <dataValidation type="list" errorStyle="warning" allowBlank="1" showInputMessage="1" showErrorMessage="1" errorTitle="Prognosezeitraum" error="Werte zwischen 0 - 240h" sqref="I34" xr:uid="{DE84B2F3-9670-4F17-A338-DC8DB11C769B}">
      <formula1>$R$34:$AC$34</formula1>
    </dataValidation>
    <dataValidation type="list" allowBlank="1" showInputMessage="1" showErrorMessage="1" sqref="I37" xr:uid="{6E105843-319D-45F5-AB49-A36AEC68BE9E}">
      <formula1>$R$37:$T$37</formula1>
    </dataValidation>
  </dataValidations>
  <pageMargins left="0.25" right="0.25" top="0.75" bottom="0.75" header="0.3" footer="0.3"/>
  <pageSetup paperSize="9" scale="43" orientation="landscape" r:id="rId1"/>
  <ignoredErrors>
    <ignoredError sqref="E68:E69 E57:N60 E22 F53 F63 J71:N71 E70 J37:N37 J33:N35 J67:N69 J70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536</v>
      </c>
    </row>
    <row r="3" spans="1:56" ht="15" customHeight="1">
      <c r="B3" s="170"/>
    </row>
    <row r="4" spans="1:56">
      <c r="B4" s="129"/>
      <c r="C4" s="54" t="s">
        <v>432</v>
      </c>
      <c r="D4" s="55"/>
      <c r="E4" s="56" t="s">
        <v>474</v>
      </c>
      <c r="F4" s="129"/>
      <c r="M4" s="129"/>
      <c r="N4" s="129"/>
      <c r="O4" s="129"/>
    </row>
    <row r="5" spans="1:56">
      <c r="B5" s="129"/>
      <c r="C5" s="54" t="s">
        <v>431</v>
      </c>
      <c r="D5" s="55"/>
      <c r="E5" s="56" t="str">
        <f>Netzbetreiber!D28</f>
        <v>EWK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475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486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514</v>
      </c>
      <c r="D9" s="129"/>
      <c r="E9" s="129"/>
      <c r="F9" s="153">
        <f>'SLP-Verfahren'!D43</f>
        <v>2</v>
      </c>
      <c r="H9" s="171" t="s">
        <v>579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577</v>
      </c>
      <c r="D10" s="129"/>
      <c r="E10" s="129"/>
      <c r="F10" s="298">
        <v>2</v>
      </c>
      <c r="G10" s="55"/>
      <c r="H10" s="171" t="s">
        <v>580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581</v>
      </c>
      <c r="D11" s="129"/>
      <c r="E11" s="129"/>
      <c r="F11" s="295" t="e">
        <f>INDEX('SLP-Verfahren'!D45:D45,'SLP-Temp-Gebiet #02'!F10)</f>
        <v>#REF!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90" t="s">
        <v>576</v>
      </c>
      <c r="D13" s="390"/>
      <c r="E13" s="390"/>
      <c r="F13" s="182" t="s">
        <v>540</v>
      </c>
      <c r="G13" s="129" t="s">
        <v>538</v>
      </c>
      <c r="H13" s="264" t="s">
        <v>555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91" t="s">
        <v>435</v>
      </c>
      <c r="D14" s="391"/>
      <c r="E14" s="88" t="s">
        <v>436</v>
      </c>
      <c r="F14" s="265" t="s">
        <v>85</v>
      </c>
      <c r="G14" s="266" t="s">
        <v>564</v>
      </c>
      <c r="H14" s="49">
        <v>0</v>
      </c>
      <c r="I14" s="55"/>
      <c r="J14" s="129"/>
      <c r="K14" s="129"/>
      <c r="L14" s="129"/>
      <c r="M14" s="129"/>
      <c r="N14" s="129"/>
      <c r="O14" s="172" t="s">
        <v>519</v>
      </c>
      <c r="R14" s="208" t="s">
        <v>556</v>
      </c>
      <c r="S14" s="208" t="s">
        <v>557</v>
      </c>
      <c r="T14" s="208" t="s">
        <v>558</v>
      </c>
      <c r="U14" s="208" t="s">
        <v>559</v>
      </c>
      <c r="V14" s="208" t="s">
        <v>539</v>
      </c>
      <c r="W14" s="208" t="s">
        <v>560</v>
      </c>
      <c r="X14" s="208" t="s">
        <v>561</v>
      </c>
      <c r="Y14" s="208" t="s">
        <v>562</v>
      </c>
      <c r="Z14" s="208" t="s">
        <v>563</v>
      </c>
      <c r="AA14" s="208" t="s">
        <v>564</v>
      </c>
      <c r="AB14" s="208" t="s">
        <v>565</v>
      </c>
      <c r="AC14" s="208" t="s">
        <v>566</v>
      </c>
    </row>
    <row r="15" spans="1:56" ht="19.5" customHeight="1">
      <c r="B15" s="129"/>
      <c r="C15" s="391" t="s">
        <v>394</v>
      </c>
      <c r="D15" s="391"/>
      <c r="E15" s="88" t="s">
        <v>436</v>
      </c>
      <c r="F15" s="265" t="s">
        <v>71</v>
      </c>
      <c r="G15" s="266" t="s">
        <v>558</v>
      </c>
      <c r="H15" s="49">
        <v>0</v>
      </c>
      <c r="I15" s="55"/>
      <c r="J15" s="129"/>
      <c r="K15" s="129"/>
      <c r="L15" s="129"/>
      <c r="M15" s="129"/>
      <c r="N15" s="129"/>
      <c r="O15" s="160" t="s">
        <v>520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377</v>
      </c>
      <c r="AH15" s="263" t="s">
        <v>481</v>
      </c>
      <c r="AI15" s="263" t="s">
        <v>541</v>
      </c>
      <c r="AJ15" s="263" t="s">
        <v>542</v>
      </c>
      <c r="AK15" s="263" t="s">
        <v>543</v>
      </c>
      <c r="AL15" s="263" t="s">
        <v>544</v>
      </c>
      <c r="AM15" s="263" t="s">
        <v>545</v>
      </c>
      <c r="AN15" s="263" t="s">
        <v>546</v>
      </c>
      <c r="AO15" s="263" t="s">
        <v>547</v>
      </c>
      <c r="AP15" s="263" t="s">
        <v>548</v>
      </c>
      <c r="AQ15" s="263" t="s">
        <v>549</v>
      </c>
      <c r="AR15" s="263" t="s">
        <v>550</v>
      </c>
      <c r="AS15" s="263" t="s">
        <v>551</v>
      </c>
      <c r="AT15" s="263" t="s">
        <v>552</v>
      </c>
      <c r="AU15" s="263" t="s">
        <v>553</v>
      </c>
      <c r="AV15" s="263" t="s">
        <v>554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509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515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510</v>
      </c>
      <c r="D20" s="179" t="s">
        <v>505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517</v>
      </c>
      <c r="D21" s="152" t="s">
        <v>507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529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493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512</v>
      </c>
      <c r="D24" s="187"/>
      <c r="E24" s="155" t="s">
        <v>573</v>
      </c>
      <c r="F24" s="155" t="s">
        <v>574</v>
      </c>
      <c r="G24" s="155"/>
      <c r="H24" s="155"/>
      <c r="I24" s="155"/>
      <c r="J24" s="155"/>
      <c r="K24" s="155"/>
      <c r="L24" s="155"/>
      <c r="M24" s="155"/>
      <c r="N24" s="155"/>
      <c r="O24" s="184" t="s">
        <v>513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506</v>
      </c>
      <c r="D25" s="187"/>
      <c r="E25" s="159" t="s">
        <v>370</v>
      </c>
      <c r="F25" s="159" t="s">
        <v>370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494</v>
      </c>
      <c r="F26" s="155" t="s">
        <v>494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494</v>
      </c>
      <c r="S26" s="66" t="s">
        <v>495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511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265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518</v>
      </c>
      <c r="D31" s="185" t="s">
        <v>264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525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368</v>
      </c>
      <c r="D33" s="152" t="s">
        <v>367</v>
      </c>
      <c r="E33" s="155" t="s">
        <v>3</v>
      </c>
      <c r="F33" s="155" t="s">
        <v>366</v>
      </c>
      <c r="G33" s="155" t="s">
        <v>357</v>
      </c>
      <c r="H33" s="155" t="s">
        <v>358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366</v>
      </c>
      <c r="T33" s="66" t="s">
        <v>357</v>
      </c>
      <c r="U33" s="66" t="s">
        <v>358</v>
      </c>
      <c r="V33" s="66" t="s">
        <v>359</v>
      </c>
      <c r="W33" s="66" t="s">
        <v>360</v>
      </c>
      <c r="X33" s="66" t="s">
        <v>361</v>
      </c>
      <c r="Y33" s="66" t="s">
        <v>362</v>
      </c>
      <c r="Z33" s="66" t="s">
        <v>363</v>
      </c>
      <c r="AA33" s="66" t="s">
        <v>364</v>
      </c>
      <c r="AB33" s="66" t="s">
        <v>365</v>
      </c>
    </row>
    <row r="34" spans="2:28">
      <c r="B34" s="182"/>
      <c r="C34" s="186" t="s">
        <v>438</v>
      </c>
      <c r="D34" s="152" t="s">
        <v>437</v>
      </c>
      <c r="E34" s="155" t="s">
        <v>503</v>
      </c>
      <c r="F34" s="155" t="s">
        <v>503</v>
      </c>
      <c r="G34" s="155" t="s">
        <v>503</v>
      </c>
      <c r="H34" s="155" t="s">
        <v>503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503</v>
      </c>
      <c r="S34" s="66" t="s">
        <v>504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583</v>
      </c>
      <c r="D35" s="152" t="s">
        <v>584</v>
      </c>
      <c r="E35" s="155" t="s">
        <v>582</v>
      </c>
      <c r="F35" s="155" t="s">
        <v>582</v>
      </c>
      <c r="G35" s="155" t="s">
        <v>582</v>
      </c>
      <c r="H35" s="155" t="s">
        <v>582</v>
      </c>
      <c r="I35" s="155" t="s">
        <v>582</v>
      </c>
      <c r="J35" s="155" t="s">
        <v>582</v>
      </c>
      <c r="K35" s="155" t="s">
        <v>582</v>
      </c>
      <c r="L35" s="155" t="s">
        <v>582</v>
      </c>
      <c r="M35" s="155" t="s">
        <v>582</v>
      </c>
      <c r="N35" s="155" t="s">
        <v>582</v>
      </c>
      <c r="O35" s="184" t="s">
        <v>142</v>
      </c>
      <c r="Q35" s="210"/>
      <c r="R35" s="66" t="s">
        <v>582</v>
      </c>
      <c r="S35" s="66" t="s">
        <v>585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430</v>
      </c>
      <c r="D36" s="118" t="s">
        <v>530</v>
      </c>
      <c r="E36" s="161" t="s">
        <v>439</v>
      </c>
      <c r="F36" s="161" t="s">
        <v>439</v>
      </c>
      <c r="G36" s="161" t="s">
        <v>440</v>
      </c>
      <c r="H36" s="161" t="s">
        <v>440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440</v>
      </c>
      <c r="S36" s="66" t="s">
        <v>439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276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356</v>
      </c>
      <c r="D39" s="197"/>
      <c r="E39" s="197" t="s">
        <v>523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524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516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527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528</v>
      </c>
      <c r="D46" s="200" t="s">
        <v>526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369</v>
      </c>
      <c r="K46" s="197"/>
      <c r="L46" s="197"/>
      <c r="M46" s="197"/>
      <c r="N46" s="197"/>
      <c r="O46" s="198"/>
    </row>
    <row r="47" spans="2:28">
      <c r="B47" s="192"/>
      <c r="C47" s="199" t="s">
        <v>355</v>
      </c>
      <c r="D47" s="200" t="s">
        <v>526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369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571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535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510</v>
      </c>
      <c r="D54" s="179" t="s">
        <v>505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517</v>
      </c>
      <c r="D55" s="152" t="s">
        <v>507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529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512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513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506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511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265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518</v>
      </c>
      <c r="D65" s="185" t="s">
        <v>264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525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368</v>
      </c>
      <c r="D67" s="152" t="s">
        <v>367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438</v>
      </c>
      <c r="D68" s="152" t="s">
        <v>437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583</v>
      </c>
      <c r="D69" s="152" t="s">
        <v>584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430</v>
      </c>
      <c r="D70" s="118" t="s">
        <v>530</v>
      </c>
      <c r="E70" s="162" t="s">
        <v>440</v>
      </c>
      <c r="F70" s="162" t="s">
        <v>440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92" t="s">
        <v>572</v>
      </c>
      <c r="D72" s="392"/>
      <c r="E72" s="392"/>
      <c r="F72" s="392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2" priority="18">
      <formula>IF(E$20&lt;=$F$18,1,0)</formula>
    </cfRule>
  </conditionalFormatting>
  <conditionalFormatting sqref="E32:N36">
    <cfRule type="expression" dxfId="31" priority="17">
      <formula>IF(E$30&lt;=$F$28,1,0)</formula>
    </cfRule>
  </conditionalFormatting>
  <conditionalFormatting sqref="E26:F26">
    <cfRule type="expression" dxfId="30" priority="16">
      <formula>IF(E$20&lt;=$F$18,1,0)</formula>
    </cfRule>
  </conditionalFormatting>
  <conditionalFormatting sqref="E26:N26">
    <cfRule type="expression" dxfId="29" priority="15">
      <formula>IF(E$20&lt;=$F$18,1,0)</formula>
    </cfRule>
  </conditionalFormatting>
  <conditionalFormatting sqref="E56:N59">
    <cfRule type="expression" dxfId="28" priority="14">
      <formula>IF(E$54&lt;=$F$52,1,0)</formula>
    </cfRule>
  </conditionalFormatting>
  <conditionalFormatting sqref="E60:N60">
    <cfRule type="expression" dxfId="27" priority="13">
      <formula>IF(E$54&lt;=$F$52,1,0)</formula>
    </cfRule>
  </conditionalFormatting>
  <conditionalFormatting sqref="E66:N68">
    <cfRule type="expression" dxfId="26" priority="12">
      <formula>IF(E$64&lt;=$F$62,1,0)</formula>
    </cfRule>
  </conditionalFormatting>
  <conditionalFormatting sqref="E65:N68 E70:N70">
    <cfRule type="expression" dxfId="25" priority="11">
      <formula>IF(E$64&gt;$F$62,1,0)</formula>
    </cfRule>
  </conditionalFormatting>
  <conditionalFormatting sqref="E56:N60">
    <cfRule type="expression" dxfId="24" priority="10">
      <formula>IF(E$54&gt;$F$52,1,0)</formula>
    </cfRule>
  </conditionalFormatting>
  <conditionalFormatting sqref="E21:N26">
    <cfRule type="expression" dxfId="23" priority="9">
      <formula>IF(E$20&gt;$F$18,1,0)</formula>
    </cfRule>
  </conditionalFormatting>
  <conditionalFormatting sqref="E32:N36">
    <cfRule type="expression" dxfId="22" priority="8">
      <formula>IF(E$30&gt;$F$28,1,0)</formula>
    </cfRule>
  </conditionalFormatting>
  <conditionalFormatting sqref="H11 H8:H9">
    <cfRule type="expression" dxfId="21" priority="7">
      <formula>IF($F$9=1,1,0)</formula>
    </cfRule>
  </conditionalFormatting>
  <conditionalFormatting sqref="E55:N55">
    <cfRule type="expression" dxfId="20" priority="6">
      <formula>IF(E$54&gt;$F$52,1,0)</formula>
    </cfRule>
  </conditionalFormatting>
  <conditionalFormatting sqref="E31:N31">
    <cfRule type="expression" dxfId="19" priority="5">
      <formula>IF(E$30&gt;$F$28,1,0)</formula>
    </cfRule>
  </conditionalFormatting>
  <conditionalFormatting sqref="E70:N70">
    <cfRule type="expression" dxfId="18" priority="4">
      <formula>IF(E$64&lt;=$F$62,1,0)</formula>
    </cfRule>
  </conditionalFormatting>
  <conditionalFormatting sqref="H10">
    <cfRule type="expression" dxfId="17" priority="3">
      <formula>IF($F$9=1,1,0)</formula>
    </cfRule>
  </conditionalFormatting>
  <conditionalFormatting sqref="E69:N69">
    <cfRule type="expression" dxfId="16" priority="2">
      <formula>IF(E$64&lt;=$F$62,1,0)</formula>
    </cfRule>
  </conditionalFormatting>
  <conditionalFormatting sqref="E69:N69">
    <cfRule type="expression" dxfId="15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31" sqref="J31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371</v>
      </c>
    </row>
    <row r="3" spans="2:26">
      <c r="B3" s="129" t="s">
        <v>453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376</v>
      </c>
      <c r="D5" s="52" t="str">
        <f>Netzbetreiber!$D$9</f>
        <v>Energie- und Wasserversorgung Kirchzarten GmbH</v>
      </c>
      <c r="E5" s="129"/>
      <c r="H5" s="87" t="s">
        <v>486</v>
      </c>
      <c r="I5" s="130" t="s">
        <v>489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343</v>
      </c>
      <c r="D6" s="52" t="str">
        <f>Netzbetreiber!$D$28</f>
        <v>EWK</v>
      </c>
      <c r="E6" s="129"/>
      <c r="F6" s="129"/>
      <c r="I6" s="130" t="s">
        <v>500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475</v>
      </c>
      <c r="D7" s="52" t="str">
        <f>Netzbetreiber!$D$11</f>
        <v>9870103600002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42644</v>
      </c>
      <c r="E8" s="129"/>
      <c r="F8" s="129"/>
      <c r="H8" s="127" t="s">
        <v>484</v>
      </c>
      <c r="J8" s="131">
        <f>COUNTA(D12:D24)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482</v>
      </c>
      <c r="D10" s="133" t="s">
        <v>147</v>
      </c>
      <c r="E10" s="276" t="s">
        <v>502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613</v>
      </c>
      <c r="M10" s="149" t="s">
        <v>622</v>
      </c>
      <c r="N10" s="150" t="s">
        <v>623</v>
      </c>
      <c r="O10" s="150" t="s">
        <v>624</v>
      </c>
      <c r="P10" s="151" t="s">
        <v>625</v>
      </c>
      <c r="Q10" s="145" t="s">
        <v>614</v>
      </c>
      <c r="R10" s="135" t="s">
        <v>615</v>
      </c>
      <c r="S10" s="136" t="s">
        <v>616</v>
      </c>
      <c r="T10" s="136" t="s">
        <v>617</v>
      </c>
      <c r="U10" s="136" t="s">
        <v>618</v>
      </c>
      <c r="V10" s="136" t="s">
        <v>619</v>
      </c>
      <c r="W10" s="136" t="s">
        <v>620</v>
      </c>
      <c r="X10" s="137" t="s">
        <v>621</v>
      </c>
      <c r="Y10" s="304" t="s">
        <v>626</v>
      </c>
    </row>
    <row r="11" spans="2:26" ht="15.75" thickBot="1">
      <c r="B11" s="138" t="s">
        <v>485</v>
      </c>
      <c r="C11" s="139" t="s">
        <v>501</v>
      </c>
      <c r="D11" s="303" t="s">
        <v>248</v>
      </c>
      <c r="E11" s="163" t="s">
        <v>508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24" si="0">$D$6</f>
        <v>EWK</v>
      </c>
      <c r="D12" s="61" t="s">
        <v>248</v>
      </c>
      <c r="E12" s="165" t="s">
        <v>483</v>
      </c>
      <c r="F12" s="360" t="str">
        <f>VLOOKUP($E12,'[1]BDEW-Standard'!$B$3:$M$158,F$9,0)</f>
        <v>1D3</v>
      </c>
      <c r="G12" s="8"/>
      <c r="H12" s="361">
        <f>ROUND(VLOOKUP($E12,'[1]BDEW-Standard'!$B$3:$M$158,H$9,0),7)</f>
        <v>1.6209544</v>
      </c>
      <c r="I12" s="361">
        <f>ROUND(VLOOKUP($E12,'[1]BDEW-Standard'!$B$3:$M$158,I$9,0),7)</f>
        <v>-37.183314099999997</v>
      </c>
      <c r="J12" s="361">
        <f>ROUND(VLOOKUP($E12,'[1]BDEW-Standard'!$B$3:$M$158,J$9,0),7)</f>
        <v>5.6727847000000002</v>
      </c>
      <c r="K12" s="361">
        <f>ROUND(VLOOKUP($E12,'[1]BDEW-Standard'!$B$3:$M$158,K$9,0),7)</f>
        <v>7.1643100000000001E-2</v>
      </c>
      <c r="L12" s="362">
        <f>ROUND(VLOOKUP($E12,'[1]BDEW-Standard'!$B$3:$M$158,L$9,0),1)</f>
        <v>40</v>
      </c>
      <c r="M12" s="361">
        <f>ROUND(VLOOKUP($E12,'[1]BDEW-Standard'!$B$3:$M$158,M$9,0),7)</f>
        <v>-4.9570000000000003E-2</v>
      </c>
      <c r="N12" s="361">
        <f>ROUND(VLOOKUP($E12,'[1]BDEW-Standard'!$B$3:$M$158,N$9,0),7)</f>
        <v>0.84010149999999995</v>
      </c>
      <c r="O12" s="361">
        <f>ROUND(VLOOKUP($E12,'[1]BDEW-Standard'!$B$3:$M$158,O$9,0),7)</f>
        <v>-2.209E-3</v>
      </c>
      <c r="P12" s="361">
        <f>ROUND(VLOOKUP($E12,'[1]BDEW-Standard'!$B$3:$M$158,P$9,0),7)</f>
        <v>0.1074468</v>
      </c>
      <c r="Q12" s="363">
        <f t="shared" ref="Q12:Q24" si="1">($H12/(1+($I12/($Q$9-$L12))^$J12)+$K12)+MAX($M12*$Q$9+$N12,$O12*$Q$9+$P12)</f>
        <v>1.0000001417752751</v>
      </c>
      <c r="R12" s="364">
        <f>ROUND(VLOOKUP(MID($E12,4,3),'[1]Wochentag F(WT)'!$B$7:$J$22,R$9,0),4)</f>
        <v>1</v>
      </c>
      <c r="S12" s="364">
        <f>ROUND(VLOOKUP(MID($E12,4,3),'[1]Wochentag F(WT)'!$B$7:$J$22,S$9,0),4)</f>
        <v>1</v>
      </c>
      <c r="T12" s="364">
        <f>ROUND(VLOOKUP(MID($E12,4,3),'[1]Wochentag F(WT)'!$B$7:$J$22,T$9,0),4)</f>
        <v>1</v>
      </c>
      <c r="U12" s="364">
        <f>ROUND(VLOOKUP(MID($E12,4,3),'[1]Wochentag F(WT)'!$B$7:$J$22,U$9,0),4)</f>
        <v>1</v>
      </c>
      <c r="V12" s="364">
        <f>ROUND(VLOOKUP(MID($E12,4,3),'[1]Wochentag F(WT)'!$B$7:$J$22,V$9,0),4)</f>
        <v>1</v>
      </c>
      <c r="W12" s="364">
        <f>ROUND(VLOOKUP(MID($E12,4,3),'[1]Wochentag F(WT)'!$B$7:$J$22,W$9,0),4)</f>
        <v>1</v>
      </c>
      <c r="X12" s="365">
        <f>7-SUM(R12:W12)</f>
        <v>1</v>
      </c>
      <c r="Y12" s="302">
        <v>350</v>
      </c>
      <c r="Z12" s="211"/>
    </row>
    <row r="13" spans="2:26" s="142" customFormat="1">
      <c r="B13" s="143">
        <v>2</v>
      </c>
      <c r="C13" s="144" t="str">
        <f t="shared" si="0"/>
        <v>EWK</v>
      </c>
      <c r="D13" s="61" t="s">
        <v>248</v>
      </c>
      <c r="E13" s="165" t="s">
        <v>499</v>
      </c>
      <c r="F13" s="360" t="str">
        <f>VLOOKUP($E13,'[1]BDEW-Standard'!$B$3:$M$158,F$9,0)</f>
        <v>2D3</v>
      </c>
      <c r="H13" s="361">
        <f>ROUND(VLOOKUP($E13,'[1]BDEW-Standard'!$B$3:$M$158,H$9,0),7)</f>
        <v>1.2328654999999999</v>
      </c>
      <c r="I13" s="361">
        <f>ROUND(VLOOKUP($E13,'[1]BDEW-Standard'!$B$3:$M$158,I$9,0),7)</f>
        <v>-34.721360500000003</v>
      </c>
      <c r="J13" s="361">
        <f>ROUND(VLOOKUP($E13,'[1]BDEW-Standard'!$B$3:$M$158,J$9,0),7)</f>
        <v>5.8164303999999998</v>
      </c>
      <c r="K13" s="361">
        <f>ROUND(VLOOKUP($E13,'[1]BDEW-Standard'!$B$3:$M$158,K$9,0),7)</f>
        <v>8.7335200000000002E-2</v>
      </c>
      <c r="L13" s="362">
        <f>ROUND(VLOOKUP($E13,'[1]BDEW-Standard'!$B$3:$M$158,L$9,0),1)</f>
        <v>40</v>
      </c>
      <c r="M13" s="361">
        <f>ROUND(VLOOKUP($E13,'[1]BDEW-Standard'!$B$3:$M$158,M$9,0),7)</f>
        <v>-4.0928399999999997E-2</v>
      </c>
      <c r="N13" s="361">
        <f>ROUND(VLOOKUP($E13,'[1]BDEW-Standard'!$B$3:$M$158,N$9,0),7)</f>
        <v>0.76729199999999997</v>
      </c>
      <c r="O13" s="361">
        <f>ROUND(VLOOKUP($E13,'[1]BDEW-Standard'!$B$3:$M$158,O$9,0),7)</f>
        <v>-2.232E-3</v>
      </c>
      <c r="P13" s="361">
        <f>ROUND(VLOOKUP($E13,'[1]BDEW-Standard'!$B$3:$M$158,P$9,0),7)</f>
        <v>0.11992070000000001</v>
      </c>
      <c r="Q13" s="363">
        <f t="shared" si="1"/>
        <v>0.99999997653191475</v>
      </c>
      <c r="R13" s="364">
        <f>ROUND(VLOOKUP(MID($E13,4,3),'[1]Wochentag F(WT)'!$B$7:$J$22,R$9,0),4)</f>
        <v>1</v>
      </c>
      <c r="S13" s="364">
        <f>ROUND(VLOOKUP(MID($E13,4,3),'[1]Wochentag F(WT)'!$B$7:$J$22,S$9,0),4)</f>
        <v>1</v>
      </c>
      <c r="T13" s="364">
        <f>ROUND(VLOOKUP(MID($E13,4,3),'[1]Wochentag F(WT)'!$B$7:$J$22,T$9,0),4)</f>
        <v>1</v>
      </c>
      <c r="U13" s="364">
        <f>ROUND(VLOOKUP(MID($E13,4,3),'[1]Wochentag F(WT)'!$B$7:$J$22,U$9,0),4)</f>
        <v>1</v>
      </c>
      <c r="V13" s="364">
        <f>ROUND(VLOOKUP(MID($E13,4,3),'[1]Wochentag F(WT)'!$B$7:$J$22,V$9,0),4)</f>
        <v>1</v>
      </c>
      <c r="W13" s="364">
        <f>ROUND(VLOOKUP(MID($E13,4,3),'[1]Wochentag F(WT)'!$B$7:$J$22,W$9,0),4)</f>
        <v>1</v>
      </c>
      <c r="X13" s="365">
        <f t="shared" ref="X13:X24" si="2">7-SUM(R13:W13)</f>
        <v>1</v>
      </c>
      <c r="Y13" s="302">
        <v>350</v>
      </c>
      <c r="Z13" s="211"/>
    </row>
    <row r="14" spans="2:26" s="142" customFormat="1">
      <c r="B14" s="143">
        <v>3</v>
      </c>
      <c r="C14" s="144" t="str">
        <f t="shared" si="0"/>
        <v>EWK</v>
      </c>
      <c r="D14" s="61" t="s">
        <v>248</v>
      </c>
      <c r="E14" s="165" t="s">
        <v>250</v>
      </c>
      <c r="F14" s="360" t="str">
        <f>VLOOKUP($E14,'[1]BDEW-Standard'!$B$3:$M$158,F$9,0)</f>
        <v>KM3</v>
      </c>
      <c r="H14" s="361">
        <f>ROUND(VLOOKUP($E14,'[1]BDEW-Standard'!$B$3:$M$158,H$9,0),7)</f>
        <v>1.4202418999999999</v>
      </c>
      <c r="I14" s="361">
        <f>ROUND(VLOOKUP($E14,'[1]BDEW-Standard'!$B$3:$M$158,I$9,0),7)</f>
        <v>-34.880612999999997</v>
      </c>
      <c r="J14" s="361">
        <f>ROUND(VLOOKUP($E14,'[1]BDEW-Standard'!$B$3:$M$158,J$9,0),7)</f>
        <v>6.5951899000000003</v>
      </c>
      <c r="K14" s="361">
        <f>ROUND(VLOOKUP($E14,'[1]BDEW-Standard'!$B$3:$M$158,K$9,0),7)</f>
        <v>3.8531700000000002E-2</v>
      </c>
      <c r="L14" s="362">
        <f>ROUND(VLOOKUP($E14,'[1]BDEW-Standard'!$B$3:$M$158,L$9,0),1)</f>
        <v>40</v>
      </c>
      <c r="M14" s="361">
        <f>ROUND(VLOOKUP($E14,'[1]BDEW-Standard'!$B$3:$M$158,M$9,0),7)</f>
        <v>-5.2108399999999999E-2</v>
      </c>
      <c r="N14" s="361">
        <f>ROUND(VLOOKUP($E14,'[1]BDEW-Standard'!$B$3:$M$158,N$9,0),7)</f>
        <v>0.86479189999999995</v>
      </c>
      <c r="O14" s="361">
        <f>ROUND(VLOOKUP($E14,'[1]BDEW-Standard'!$B$3:$M$158,O$9,0),7)</f>
        <v>-1.4369000000000001E-3</v>
      </c>
      <c r="P14" s="361">
        <f>ROUND(VLOOKUP($E14,'[1]BDEW-Standard'!$B$3:$M$158,P$9,0),7)</f>
        <v>6.3760200000000003E-2</v>
      </c>
      <c r="Q14" s="363">
        <f t="shared" si="1"/>
        <v>1.0000002125085892</v>
      </c>
      <c r="R14" s="364">
        <f>ROUND(VLOOKUP(MID($E14,4,3),'[1]Wochentag F(WT)'!$B$7:$J$22,R$9,0),4)</f>
        <v>1.0699000000000001</v>
      </c>
      <c r="S14" s="364">
        <f>ROUND(VLOOKUP(MID($E14,4,3),'[1]Wochentag F(WT)'!$B$7:$J$22,S$9,0),4)</f>
        <v>1.0365</v>
      </c>
      <c r="T14" s="364">
        <f>ROUND(VLOOKUP(MID($E14,4,3),'[1]Wochentag F(WT)'!$B$7:$J$22,T$9,0),4)</f>
        <v>0.99329999999999996</v>
      </c>
      <c r="U14" s="364">
        <f>ROUND(VLOOKUP(MID($E14,4,3),'[1]Wochentag F(WT)'!$B$7:$J$22,U$9,0),4)</f>
        <v>0.99480000000000002</v>
      </c>
      <c r="V14" s="364">
        <f>ROUND(VLOOKUP(MID($E14,4,3),'[1]Wochentag F(WT)'!$B$7:$J$22,V$9,0),4)</f>
        <v>1.0659000000000001</v>
      </c>
      <c r="W14" s="364">
        <f>ROUND(VLOOKUP(MID($E14,4,3),'[1]Wochentag F(WT)'!$B$7:$J$22,W$9,0),4)</f>
        <v>0.93620000000000003</v>
      </c>
      <c r="X14" s="365">
        <f t="shared" si="2"/>
        <v>0.90339999999999954</v>
      </c>
      <c r="Y14" s="302">
        <v>350</v>
      </c>
      <c r="Z14" s="211"/>
    </row>
    <row r="15" spans="2:26" s="142" customFormat="1">
      <c r="B15" s="143">
        <v>4</v>
      </c>
      <c r="C15" s="144" t="str">
        <f t="shared" si="0"/>
        <v>EWK</v>
      </c>
      <c r="D15" s="61" t="s">
        <v>248</v>
      </c>
      <c r="E15" s="165" t="s">
        <v>252</v>
      </c>
      <c r="F15" s="360" t="str">
        <f>VLOOKUP($E15,'[1]BDEW-Standard'!$B$3:$M$158,F$9,0)</f>
        <v>OK3</v>
      </c>
      <c r="H15" s="361">
        <f>ROUND(VLOOKUP($E15,'[1]BDEW-Standard'!$B$3:$M$158,H$9,0),7)</f>
        <v>1.3554515</v>
      </c>
      <c r="I15" s="361">
        <f>ROUND(VLOOKUP($E15,'[1]BDEW-Standard'!$B$3:$M$158,I$9,0),7)</f>
        <v>-35.141256300000002</v>
      </c>
      <c r="J15" s="361">
        <f>ROUND(VLOOKUP($E15,'[1]BDEW-Standard'!$B$3:$M$158,J$9,0),7)</f>
        <v>7.1303394999999998</v>
      </c>
      <c r="K15" s="361">
        <f>ROUND(VLOOKUP($E15,'[1]BDEW-Standard'!$B$3:$M$158,K$9,0),7)</f>
        <v>9.9061899999999994E-2</v>
      </c>
      <c r="L15" s="362">
        <f>ROUND(VLOOKUP($E15,'[1]BDEW-Standard'!$B$3:$M$158,L$9,0),1)</f>
        <v>40</v>
      </c>
      <c r="M15" s="361">
        <f>ROUND(VLOOKUP($E15,'[1]BDEW-Standard'!$B$3:$M$158,M$9,0),7)</f>
        <v>-5.26487E-2</v>
      </c>
      <c r="N15" s="361">
        <f>ROUND(VLOOKUP($E15,'[1]BDEW-Standard'!$B$3:$M$158,N$9,0),7)</f>
        <v>0.86260859999999995</v>
      </c>
      <c r="O15" s="361">
        <f>ROUND(VLOOKUP($E15,'[1]BDEW-Standard'!$B$3:$M$158,O$9,0),7)</f>
        <v>-8.8080000000000005E-4</v>
      </c>
      <c r="P15" s="361">
        <f>ROUND(VLOOKUP($E15,'[1]BDEW-Standard'!$B$3:$M$158,P$9,0),7)</f>
        <v>9.6401399999999998E-2</v>
      </c>
      <c r="Q15" s="363">
        <f t="shared" si="1"/>
        <v>0.99999998782262245</v>
      </c>
      <c r="R15" s="364">
        <f>ROUND(VLOOKUP(MID($E15,4,3),'[1]Wochentag F(WT)'!$B$7:$J$22,R$9,0),4)</f>
        <v>1.0354000000000001</v>
      </c>
      <c r="S15" s="364">
        <f>ROUND(VLOOKUP(MID($E15,4,3),'[1]Wochentag F(WT)'!$B$7:$J$22,S$9,0),4)</f>
        <v>1.0523</v>
      </c>
      <c r="T15" s="364">
        <f>ROUND(VLOOKUP(MID($E15,4,3),'[1]Wochentag F(WT)'!$B$7:$J$22,T$9,0),4)</f>
        <v>1.0448999999999999</v>
      </c>
      <c r="U15" s="364">
        <f>ROUND(VLOOKUP(MID($E15,4,3),'[1]Wochentag F(WT)'!$B$7:$J$22,U$9,0),4)</f>
        <v>1.0494000000000001</v>
      </c>
      <c r="V15" s="364">
        <f>ROUND(VLOOKUP(MID($E15,4,3),'[1]Wochentag F(WT)'!$B$7:$J$22,V$9,0),4)</f>
        <v>0.98850000000000005</v>
      </c>
      <c r="W15" s="364">
        <f>ROUND(VLOOKUP(MID($E15,4,3),'[1]Wochentag F(WT)'!$B$7:$J$22,W$9,0),4)</f>
        <v>0.88600000000000001</v>
      </c>
      <c r="X15" s="365">
        <f t="shared" si="2"/>
        <v>0.94349999999999934</v>
      </c>
      <c r="Y15" s="302">
        <v>350</v>
      </c>
      <c r="Z15" s="211"/>
    </row>
    <row r="16" spans="2:26" s="142" customFormat="1">
      <c r="B16" s="143">
        <v>5</v>
      </c>
      <c r="C16" s="144" t="str">
        <f t="shared" si="0"/>
        <v>EWK</v>
      </c>
      <c r="D16" s="61" t="s">
        <v>248</v>
      </c>
      <c r="E16" s="165" t="s">
        <v>251</v>
      </c>
      <c r="F16" s="360" t="str">
        <f>VLOOKUP($E16,'[1]BDEW-Standard'!$B$3:$M$158,F$9,0)</f>
        <v>AH3</v>
      </c>
      <c r="H16" s="361">
        <f>ROUND(VLOOKUP($E16,'[1]BDEW-Standard'!$B$3:$M$158,H$9,0),7)</f>
        <v>1.9724775000000001</v>
      </c>
      <c r="I16" s="361">
        <f>ROUND(VLOOKUP($E16,'[1]BDEW-Standard'!$B$3:$M$158,I$9,0),7)</f>
        <v>-36.965006500000001</v>
      </c>
      <c r="J16" s="361">
        <f>ROUND(VLOOKUP($E16,'[1]BDEW-Standard'!$B$3:$M$158,J$9,0),7)</f>
        <v>7.2256947</v>
      </c>
      <c r="K16" s="361">
        <f>ROUND(VLOOKUP($E16,'[1]BDEW-Standard'!$B$3:$M$158,K$9,0),7)</f>
        <v>3.4578200000000003E-2</v>
      </c>
      <c r="L16" s="362">
        <f>ROUND(VLOOKUP($E16,'[1]BDEW-Standard'!$B$3:$M$158,L$9,0),1)</f>
        <v>40</v>
      </c>
      <c r="M16" s="361">
        <f>ROUND(VLOOKUP($E16,'[1]BDEW-Standard'!$B$3:$M$158,M$9,0),7)</f>
        <v>-7.4217400000000003E-2</v>
      </c>
      <c r="N16" s="361">
        <f>ROUND(VLOOKUP($E16,'[1]BDEW-Standard'!$B$3:$M$158,N$9,0),7)</f>
        <v>1.0448869000000001</v>
      </c>
      <c r="O16" s="361">
        <f>ROUND(VLOOKUP($E16,'[1]BDEW-Standard'!$B$3:$M$158,O$9,0),7)</f>
        <v>-8.2950000000000005E-4</v>
      </c>
      <c r="P16" s="361">
        <f>ROUND(VLOOKUP($E16,'[1]BDEW-Standard'!$B$3:$M$158,P$9,0),7)</f>
        <v>4.6179499999999998E-2</v>
      </c>
      <c r="Q16" s="363">
        <f t="shared" si="1"/>
        <v>1.0000000832749945</v>
      </c>
      <c r="R16" s="364">
        <f>ROUND(VLOOKUP(MID($E16,4,3),'[1]Wochentag F(WT)'!$B$7:$J$22,R$9,0),4)</f>
        <v>1.0358000000000001</v>
      </c>
      <c r="S16" s="364">
        <f>ROUND(VLOOKUP(MID($E16,4,3),'[1]Wochentag F(WT)'!$B$7:$J$22,S$9,0),4)</f>
        <v>1.0232000000000001</v>
      </c>
      <c r="T16" s="364">
        <f>ROUND(VLOOKUP(MID($E16,4,3),'[1]Wochentag F(WT)'!$B$7:$J$22,T$9,0),4)</f>
        <v>1.0251999999999999</v>
      </c>
      <c r="U16" s="364">
        <f>ROUND(VLOOKUP(MID($E16,4,3),'[1]Wochentag F(WT)'!$B$7:$J$22,U$9,0),4)</f>
        <v>1.0295000000000001</v>
      </c>
      <c r="V16" s="364">
        <f>ROUND(VLOOKUP(MID($E16,4,3),'[1]Wochentag F(WT)'!$B$7:$J$22,V$9,0),4)</f>
        <v>1.0253000000000001</v>
      </c>
      <c r="W16" s="364">
        <f>ROUND(VLOOKUP(MID($E16,4,3),'[1]Wochentag F(WT)'!$B$7:$J$22,W$9,0),4)</f>
        <v>0.96750000000000003</v>
      </c>
      <c r="X16" s="365">
        <f t="shared" si="2"/>
        <v>0.89350000000000041</v>
      </c>
      <c r="Y16" s="302">
        <v>350</v>
      </c>
      <c r="Z16" s="211"/>
    </row>
    <row r="17" spans="2:26" s="142" customFormat="1">
      <c r="B17" s="143">
        <v>6</v>
      </c>
      <c r="C17" s="144" t="str">
        <f t="shared" si="0"/>
        <v>EWK</v>
      </c>
      <c r="D17" s="61" t="s">
        <v>248</v>
      </c>
      <c r="E17" s="165" t="s">
        <v>253</v>
      </c>
      <c r="F17" s="360" t="str">
        <f>VLOOKUP($E17,'[1]BDEW-Standard'!$B$3:$M$158,F$9,0)</f>
        <v>DB3</v>
      </c>
      <c r="H17" s="361">
        <f>ROUND(VLOOKUP($E17,'[1]BDEW-Standard'!$B$3:$M$158,H$9,0),7)</f>
        <v>1.4633681999999999</v>
      </c>
      <c r="I17" s="361">
        <f>ROUND(VLOOKUP($E17,'[1]BDEW-Standard'!$B$3:$M$158,I$9,0),7)</f>
        <v>-36.179411700000003</v>
      </c>
      <c r="J17" s="361">
        <f>ROUND(VLOOKUP($E17,'[1]BDEW-Standard'!$B$3:$M$158,J$9,0),7)</f>
        <v>5.9265162</v>
      </c>
      <c r="K17" s="361">
        <f>ROUND(VLOOKUP($E17,'[1]BDEW-Standard'!$B$3:$M$158,K$9,0),7)</f>
        <v>8.0883499999999997E-2</v>
      </c>
      <c r="L17" s="362">
        <f>ROUND(VLOOKUP($E17,'[1]BDEW-Standard'!$B$3:$M$158,L$9,0),1)</f>
        <v>40</v>
      </c>
      <c r="M17" s="361">
        <f>ROUND(VLOOKUP($E17,'[1]BDEW-Standard'!$B$3:$M$158,M$9,0),7)</f>
        <v>-4.7579999999999997E-2</v>
      </c>
      <c r="N17" s="361">
        <f>ROUND(VLOOKUP($E17,'[1]BDEW-Standard'!$B$3:$M$158,N$9,0),7)</f>
        <v>0.82307540000000001</v>
      </c>
      <c r="O17" s="361">
        <f>ROUND(VLOOKUP($E17,'[1]BDEW-Standard'!$B$3:$M$158,O$9,0),7)</f>
        <v>-1.9273000000000001E-3</v>
      </c>
      <c r="P17" s="361">
        <f>ROUND(VLOOKUP($E17,'[1]BDEW-Standard'!$B$3:$M$158,P$9,0),7)</f>
        <v>0.1077046</v>
      </c>
      <c r="Q17" s="363">
        <f t="shared" si="1"/>
        <v>0.99999993818735389</v>
      </c>
      <c r="R17" s="364">
        <f>ROUND(VLOOKUP(MID($E17,4,3),'[1]Wochentag F(WT)'!$B$7:$J$22,R$9,0),4)</f>
        <v>1.1052</v>
      </c>
      <c r="S17" s="364">
        <f>ROUND(VLOOKUP(MID($E17,4,3),'[1]Wochentag F(WT)'!$B$7:$J$22,S$9,0),4)</f>
        <v>1.0857000000000001</v>
      </c>
      <c r="T17" s="364">
        <f>ROUND(VLOOKUP(MID($E17,4,3),'[1]Wochentag F(WT)'!$B$7:$J$22,T$9,0),4)</f>
        <v>1.0378000000000001</v>
      </c>
      <c r="U17" s="364">
        <f>ROUND(VLOOKUP(MID($E17,4,3),'[1]Wochentag F(WT)'!$B$7:$J$22,U$9,0),4)</f>
        <v>1.0622</v>
      </c>
      <c r="V17" s="364">
        <f>ROUND(VLOOKUP(MID($E17,4,3),'[1]Wochentag F(WT)'!$B$7:$J$22,V$9,0),4)</f>
        <v>1.0266</v>
      </c>
      <c r="W17" s="364">
        <f>ROUND(VLOOKUP(MID($E17,4,3),'[1]Wochentag F(WT)'!$B$7:$J$22,W$9,0),4)</f>
        <v>0.76290000000000002</v>
      </c>
      <c r="X17" s="365">
        <f t="shared" si="2"/>
        <v>0.91959999999999997</v>
      </c>
      <c r="Y17" s="302">
        <v>350</v>
      </c>
      <c r="Z17" s="211"/>
    </row>
    <row r="18" spans="2:26" s="142" customFormat="1">
      <c r="B18" s="143">
        <v>7</v>
      </c>
      <c r="C18" s="144" t="str">
        <f t="shared" si="0"/>
        <v>EWK</v>
      </c>
      <c r="D18" s="61" t="s">
        <v>248</v>
      </c>
      <c r="E18" s="165" t="s">
        <v>258</v>
      </c>
      <c r="F18" s="360" t="str">
        <f>VLOOKUP($E18,'[1]BDEW-Standard'!$B$3:$M$158,F$9,0)</f>
        <v>HB3</v>
      </c>
      <c r="H18" s="361">
        <f>ROUND(VLOOKUP($E18,'[1]BDEW-Standard'!$B$3:$M$158,H$9,0),7)</f>
        <v>0.98742830000000004</v>
      </c>
      <c r="I18" s="361">
        <f>ROUND(VLOOKUP($E18,'[1]BDEW-Standard'!$B$3:$M$158,I$9,0),7)</f>
        <v>-35.253212400000002</v>
      </c>
      <c r="J18" s="361">
        <f>ROUND(VLOOKUP($E18,'[1]BDEW-Standard'!$B$3:$M$158,J$9,0),7)</f>
        <v>6.1544406</v>
      </c>
      <c r="K18" s="361">
        <f>ROUND(VLOOKUP($E18,'[1]BDEW-Standard'!$B$3:$M$158,K$9,0),7)</f>
        <v>0.22657160000000001</v>
      </c>
      <c r="L18" s="362">
        <f>ROUND(VLOOKUP($E18,'[1]BDEW-Standard'!$B$3:$M$158,L$9,0),1)</f>
        <v>40</v>
      </c>
      <c r="M18" s="361">
        <f>ROUND(VLOOKUP($E18,'[1]BDEW-Standard'!$B$3:$M$158,M$9,0),7)</f>
        <v>-3.3902000000000002E-2</v>
      </c>
      <c r="N18" s="361">
        <f>ROUND(VLOOKUP($E18,'[1]BDEW-Standard'!$B$3:$M$158,N$9,0),7)</f>
        <v>0.69382339999999998</v>
      </c>
      <c r="O18" s="361">
        <f>ROUND(VLOOKUP($E18,'[1]BDEW-Standard'!$B$3:$M$158,O$9,0),7)</f>
        <v>-1.2849000000000001E-3</v>
      </c>
      <c r="P18" s="361">
        <f>ROUND(VLOOKUP($E18,'[1]BDEW-Standard'!$B$3:$M$158,P$9,0),7)</f>
        <v>0.20297319999999999</v>
      </c>
      <c r="Q18" s="363">
        <f t="shared" si="1"/>
        <v>0.99999983700977324</v>
      </c>
      <c r="R18" s="364">
        <f>ROUND(VLOOKUP(MID($E18,4,3),'[1]Wochentag F(WT)'!$B$7:$J$22,R$9,0),4)</f>
        <v>0.97670000000000001</v>
      </c>
      <c r="S18" s="364">
        <f>ROUND(VLOOKUP(MID($E18,4,3),'[1]Wochentag F(WT)'!$B$7:$J$22,S$9,0),4)</f>
        <v>1.0388999999999999</v>
      </c>
      <c r="T18" s="364">
        <f>ROUND(VLOOKUP(MID($E18,4,3),'[1]Wochentag F(WT)'!$B$7:$J$22,T$9,0),4)</f>
        <v>1.0027999999999999</v>
      </c>
      <c r="U18" s="364">
        <f>ROUND(VLOOKUP(MID($E18,4,3),'[1]Wochentag F(WT)'!$B$7:$J$22,U$9,0),4)</f>
        <v>1.0162</v>
      </c>
      <c r="V18" s="364">
        <f>ROUND(VLOOKUP(MID($E18,4,3),'[1]Wochentag F(WT)'!$B$7:$J$22,V$9,0),4)</f>
        <v>1.0024</v>
      </c>
      <c r="W18" s="364">
        <f>ROUND(VLOOKUP(MID($E18,4,3),'[1]Wochentag F(WT)'!$B$7:$J$22,W$9,0),4)</f>
        <v>1.0043</v>
      </c>
      <c r="X18" s="365">
        <f t="shared" si="2"/>
        <v>0.95870000000000122</v>
      </c>
      <c r="Y18" s="302">
        <v>350</v>
      </c>
      <c r="Z18" s="211"/>
    </row>
    <row r="19" spans="2:26" s="142" customFormat="1">
      <c r="B19" s="143">
        <v>8</v>
      </c>
      <c r="C19" s="144" t="str">
        <f t="shared" si="0"/>
        <v>EWK</v>
      </c>
      <c r="D19" s="61" t="s">
        <v>248</v>
      </c>
      <c r="E19" s="165" t="s">
        <v>254</v>
      </c>
      <c r="F19" s="360" t="str">
        <f>VLOOKUP($E19,'[1]BDEW-Standard'!$B$3:$M$158,F$9,0)</f>
        <v>AG3</v>
      </c>
      <c r="H19" s="361">
        <f>ROUND(VLOOKUP($E19,'[1]BDEW-Standard'!$B$3:$M$158,H$9,0),7)</f>
        <v>1.1582082</v>
      </c>
      <c r="I19" s="361">
        <f>ROUND(VLOOKUP($E19,'[1]BDEW-Standard'!$B$3:$M$158,I$9,0),7)</f>
        <v>-36.287858399999998</v>
      </c>
      <c r="J19" s="361">
        <f>ROUND(VLOOKUP($E19,'[1]BDEW-Standard'!$B$3:$M$158,J$9,0),7)</f>
        <v>6.5885125999999996</v>
      </c>
      <c r="K19" s="361">
        <f>ROUND(VLOOKUP($E19,'[1]BDEW-Standard'!$B$3:$M$158,K$9,0),7)</f>
        <v>0.22356799999999999</v>
      </c>
      <c r="L19" s="362">
        <f>ROUND(VLOOKUP($E19,'[1]BDEW-Standard'!$B$3:$M$158,L$9,0),1)</f>
        <v>40</v>
      </c>
      <c r="M19" s="361">
        <f>ROUND(VLOOKUP($E19,'[1]BDEW-Standard'!$B$3:$M$158,M$9,0),7)</f>
        <v>-4.1033500000000001E-2</v>
      </c>
      <c r="N19" s="361">
        <f>ROUND(VLOOKUP($E19,'[1]BDEW-Standard'!$B$3:$M$158,N$9,0),7)</f>
        <v>0.75264509999999996</v>
      </c>
      <c r="O19" s="361">
        <f>ROUND(VLOOKUP($E19,'[1]BDEW-Standard'!$B$3:$M$158,O$9,0),7)</f>
        <v>-9.0879999999999997E-4</v>
      </c>
      <c r="P19" s="361">
        <f>ROUND(VLOOKUP($E19,'[1]BDEW-Standard'!$B$3:$M$158,P$9,0),7)</f>
        <v>0.1916641</v>
      </c>
      <c r="Q19" s="363">
        <f t="shared" si="1"/>
        <v>0.99999977999083423</v>
      </c>
      <c r="R19" s="364">
        <f>ROUND(VLOOKUP(MID($E19,4,3),'[1]Wochentag F(WT)'!$B$7:$J$22,R$9,0),4)</f>
        <v>0.93220000000000003</v>
      </c>
      <c r="S19" s="364">
        <f>ROUND(VLOOKUP(MID($E19,4,3),'[1]Wochentag F(WT)'!$B$7:$J$22,S$9,0),4)</f>
        <v>0.98939999999999995</v>
      </c>
      <c r="T19" s="364">
        <f>ROUND(VLOOKUP(MID($E19,4,3),'[1]Wochentag F(WT)'!$B$7:$J$22,T$9,0),4)</f>
        <v>1.0033000000000001</v>
      </c>
      <c r="U19" s="364">
        <f>ROUND(VLOOKUP(MID($E19,4,3),'[1]Wochentag F(WT)'!$B$7:$J$22,U$9,0),4)</f>
        <v>1.0108999999999999</v>
      </c>
      <c r="V19" s="364">
        <f>ROUND(VLOOKUP(MID($E19,4,3),'[1]Wochentag F(WT)'!$B$7:$J$22,V$9,0),4)</f>
        <v>1.018</v>
      </c>
      <c r="W19" s="364">
        <f>ROUND(VLOOKUP(MID($E19,4,3),'[1]Wochentag F(WT)'!$B$7:$J$22,W$9,0),4)</f>
        <v>1.0356000000000001</v>
      </c>
      <c r="X19" s="365">
        <f t="shared" si="2"/>
        <v>1.0106000000000002</v>
      </c>
      <c r="Y19" s="302">
        <v>350</v>
      </c>
      <c r="Z19" s="211"/>
    </row>
    <row r="20" spans="2:26" s="142" customFormat="1">
      <c r="B20" s="143">
        <v>9</v>
      </c>
      <c r="C20" s="144" t="str">
        <f t="shared" si="0"/>
        <v>EWK</v>
      </c>
      <c r="D20" s="61" t="s">
        <v>248</v>
      </c>
      <c r="E20" s="165" t="s">
        <v>642</v>
      </c>
      <c r="F20" s="360" t="str">
        <f>VLOOKUP($E20,'[1]BDEW-Standard'!$B$3:$M$158,F$9,0)</f>
        <v>AB3</v>
      </c>
      <c r="H20" s="361">
        <f>ROUND(VLOOKUP($E20,'[1]BDEW-Standard'!$B$3:$M$158,H$9,0),7)</f>
        <v>0.2770087</v>
      </c>
      <c r="I20" s="361">
        <f>ROUND(VLOOKUP($E20,'[1]BDEW-Standard'!$B$3:$M$158,I$9,0),7)</f>
        <v>-33</v>
      </c>
      <c r="J20" s="361">
        <f>ROUND(VLOOKUP($E20,'[1]BDEW-Standard'!$B$3:$M$158,J$9,0),7)</f>
        <v>5.7212303000000002</v>
      </c>
      <c r="K20" s="361">
        <f>ROUND(VLOOKUP($E20,'[1]BDEW-Standard'!$B$3:$M$158,K$9,0),7)</f>
        <v>0.48651179999999999</v>
      </c>
      <c r="L20" s="362">
        <f>ROUND(VLOOKUP($E20,'[1]BDEW-Standard'!$B$3:$M$158,L$9,0),1)</f>
        <v>40</v>
      </c>
      <c r="M20" s="361">
        <f>ROUND(VLOOKUP($E20,'[1]BDEW-Standard'!$B$3:$M$158,M$9,0),7)</f>
        <v>-9.4848999999999992E-3</v>
      </c>
      <c r="N20" s="361">
        <f>ROUND(VLOOKUP($E20,'[1]BDEW-Standard'!$B$3:$M$158,N$9,0),7)</f>
        <v>0.46302369999999998</v>
      </c>
      <c r="O20" s="361">
        <f>ROUND(VLOOKUP($E20,'[1]BDEW-Standard'!$B$3:$M$158,O$9,0),7)</f>
        <v>-7.1339999999999999E-4</v>
      </c>
      <c r="P20" s="361">
        <f>ROUND(VLOOKUP($E20,'[1]BDEW-Standard'!$B$3:$M$158,P$9,0),7)</f>
        <v>0.3867447</v>
      </c>
      <c r="Q20" s="363">
        <f t="shared" si="1"/>
        <v>1.0000000764227039</v>
      </c>
      <c r="R20" s="364">
        <f>ROUND(VLOOKUP(MID($E20,4,3),'[1]Wochentag F(WT)'!$B$7:$J$22,R$9,0),4)</f>
        <v>1.0848</v>
      </c>
      <c r="S20" s="364">
        <f>ROUND(VLOOKUP(MID($E20,4,3),'[1]Wochentag F(WT)'!$B$7:$J$22,S$9,0),4)</f>
        <v>1.1211</v>
      </c>
      <c r="T20" s="364">
        <f>ROUND(VLOOKUP(MID($E20,4,3),'[1]Wochentag F(WT)'!$B$7:$J$22,T$9,0),4)</f>
        <v>1.0769</v>
      </c>
      <c r="U20" s="364">
        <f>ROUND(VLOOKUP(MID($E20,4,3),'[1]Wochentag F(WT)'!$B$7:$J$22,U$9,0),4)</f>
        <v>1.1353</v>
      </c>
      <c r="V20" s="364">
        <f>ROUND(VLOOKUP(MID($E20,4,3),'[1]Wochentag F(WT)'!$B$7:$J$22,V$9,0),4)</f>
        <v>1.1402000000000001</v>
      </c>
      <c r="W20" s="364">
        <f>ROUND(VLOOKUP(MID($E20,4,3),'[1]Wochentag F(WT)'!$B$7:$J$22,W$9,0),4)</f>
        <v>0.48520000000000002</v>
      </c>
      <c r="X20" s="365">
        <f t="shared" si="2"/>
        <v>0.95650000000000013</v>
      </c>
      <c r="Y20" s="302">
        <v>350</v>
      </c>
      <c r="Z20" s="211"/>
    </row>
    <row r="21" spans="2:26" s="142" customFormat="1">
      <c r="B21" s="143">
        <v>10</v>
      </c>
      <c r="C21" s="144" t="str">
        <f t="shared" si="0"/>
        <v>EWK</v>
      </c>
      <c r="D21" s="61" t="s">
        <v>248</v>
      </c>
      <c r="E21" s="165" t="s">
        <v>255</v>
      </c>
      <c r="F21" s="360" t="str">
        <f>VLOOKUP($E21,'[1]BDEW-Standard'!$B$3:$M$158,F$9,0)</f>
        <v>AW3</v>
      </c>
      <c r="H21" s="361">
        <f>ROUND(VLOOKUP($E21,'[1]BDEW-Standard'!$B$3:$M$158,H$9,0),7)</f>
        <v>0.33378380000000002</v>
      </c>
      <c r="I21" s="361">
        <f>ROUND(VLOOKUP($E21,'[1]BDEW-Standard'!$B$3:$M$158,I$9,0),7)</f>
        <v>-36.023791199999998</v>
      </c>
      <c r="J21" s="361">
        <f>ROUND(VLOOKUP($E21,'[1]BDEW-Standard'!$B$3:$M$158,J$9,0),7)</f>
        <v>4.8662747</v>
      </c>
      <c r="K21" s="361">
        <f>ROUND(VLOOKUP($E21,'[1]BDEW-Standard'!$B$3:$M$158,K$9,0),7)</f>
        <v>0.491228</v>
      </c>
      <c r="L21" s="362">
        <f>ROUND(VLOOKUP($E21,'[1]BDEW-Standard'!$B$3:$M$158,L$9,0),1)</f>
        <v>40</v>
      </c>
      <c r="M21" s="361">
        <f>ROUND(VLOOKUP($E21,'[1]BDEW-Standard'!$B$3:$M$158,M$9,0),7)</f>
        <v>-9.2262999999999998E-3</v>
      </c>
      <c r="N21" s="361">
        <f>ROUND(VLOOKUP($E21,'[1]BDEW-Standard'!$B$3:$M$158,N$9,0),7)</f>
        <v>0.45957569999999998</v>
      </c>
      <c r="O21" s="361">
        <f>ROUND(VLOOKUP($E21,'[1]BDEW-Standard'!$B$3:$M$158,O$9,0),7)</f>
        <v>-9.6759999999999999E-4</v>
      </c>
      <c r="P21" s="361">
        <f>ROUND(VLOOKUP($E21,'[1]BDEW-Standard'!$B$3:$M$158,P$9,0),7)</f>
        <v>0.39642909999999998</v>
      </c>
      <c r="Q21" s="363">
        <f t="shared" si="1"/>
        <v>1.000000394217609</v>
      </c>
      <c r="R21" s="364">
        <f>ROUND(VLOOKUP(MID($E21,4,3),'[1]Wochentag F(WT)'!$B$7:$J$22,R$9,0),4)</f>
        <v>1.2457</v>
      </c>
      <c r="S21" s="364">
        <f>ROUND(VLOOKUP(MID($E21,4,3),'[1]Wochentag F(WT)'!$B$7:$J$22,S$9,0),4)</f>
        <v>1.2615000000000001</v>
      </c>
      <c r="T21" s="364">
        <f>ROUND(VLOOKUP(MID($E21,4,3),'[1]Wochentag F(WT)'!$B$7:$J$22,T$9,0),4)</f>
        <v>1.2706999999999999</v>
      </c>
      <c r="U21" s="364">
        <f>ROUND(VLOOKUP(MID($E21,4,3),'[1]Wochentag F(WT)'!$B$7:$J$22,U$9,0),4)</f>
        <v>1.2430000000000001</v>
      </c>
      <c r="V21" s="364">
        <f>ROUND(VLOOKUP(MID($E21,4,3),'[1]Wochentag F(WT)'!$B$7:$J$22,V$9,0),4)</f>
        <v>1.1275999999999999</v>
      </c>
      <c r="W21" s="364">
        <f>ROUND(VLOOKUP(MID($E21,4,3),'[1]Wochentag F(WT)'!$B$7:$J$22,W$9,0),4)</f>
        <v>0.38769999999999999</v>
      </c>
      <c r="X21" s="365">
        <f t="shared" si="2"/>
        <v>0.46379999999999999</v>
      </c>
      <c r="Y21" s="302">
        <v>350</v>
      </c>
      <c r="Z21" s="211"/>
    </row>
    <row r="22" spans="2:26" s="142" customFormat="1">
      <c r="B22" s="143">
        <v>11</v>
      </c>
      <c r="C22" s="144" t="str">
        <f t="shared" si="0"/>
        <v>EWK</v>
      </c>
      <c r="D22" s="61" t="s">
        <v>248</v>
      </c>
      <c r="E22" s="165" t="s">
        <v>257</v>
      </c>
      <c r="F22" s="360" t="str">
        <f>VLOOKUP($E22,'[1]BDEW-Standard'!$B$3:$M$158,F$9,0)</f>
        <v>BG3</v>
      </c>
      <c r="H22" s="361">
        <f>ROUND(VLOOKUP($E22,'[1]BDEW-Standard'!$B$3:$M$158,H$9,0),7)</f>
        <v>1.8213778</v>
      </c>
      <c r="I22" s="361">
        <f>ROUND(VLOOKUP($E22,'[1]BDEW-Standard'!$B$3:$M$158,I$9,0),7)</f>
        <v>-37.5</v>
      </c>
      <c r="J22" s="361">
        <f>ROUND(VLOOKUP($E22,'[1]BDEW-Standard'!$B$3:$M$158,J$9,0),7)</f>
        <v>6.3462148000000003</v>
      </c>
      <c r="K22" s="361">
        <f>ROUND(VLOOKUP($E22,'[1]BDEW-Standard'!$B$3:$M$158,K$9,0),7)</f>
        <v>6.7811800000000005E-2</v>
      </c>
      <c r="L22" s="362">
        <f>ROUND(VLOOKUP($E22,'[1]BDEW-Standard'!$B$3:$M$158,L$9,0),1)</f>
        <v>40</v>
      </c>
      <c r="M22" s="361">
        <f>ROUND(VLOOKUP($E22,'[1]BDEW-Standard'!$B$3:$M$158,M$9,0),7)</f>
        <v>-6.0766599999999997E-2</v>
      </c>
      <c r="N22" s="361">
        <f>ROUND(VLOOKUP($E22,'[1]BDEW-Standard'!$B$3:$M$158,N$9,0),7)</f>
        <v>0.93081590000000003</v>
      </c>
      <c r="O22" s="361">
        <f>ROUND(VLOOKUP($E22,'[1]BDEW-Standard'!$B$3:$M$158,O$9,0),7)</f>
        <v>-1.3967000000000001E-3</v>
      </c>
      <c r="P22" s="361">
        <f>ROUND(VLOOKUP($E22,'[1]BDEW-Standard'!$B$3:$M$158,P$9,0),7)</f>
        <v>8.5039900000000002E-2</v>
      </c>
      <c r="Q22" s="363">
        <f t="shared" si="1"/>
        <v>0.99999980465705085</v>
      </c>
      <c r="R22" s="364">
        <f>ROUND(VLOOKUP(MID($E22,4,3),'[1]Wochentag F(WT)'!$B$7:$J$22,R$9,0),4)</f>
        <v>0.98970000000000002</v>
      </c>
      <c r="S22" s="364">
        <f>ROUND(VLOOKUP(MID($E22,4,3),'[1]Wochentag F(WT)'!$B$7:$J$22,S$9,0),4)</f>
        <v>0.9627</v>
      </c>
      <c r="T22" s="364">
        <f>ROUND(VLOOKUP(MID($E22,4,3),'[1]Wochentag F(WT)'!$B$7:$J$22,T$9,0),4)</f>
        <v>1.0507</v>
      </c>
      <c r="U22" s="364">
        <f>ROUND(VLOOKUP(MID($E22,4,3),'[1]Wochentag F(WT)'!$B$7:$J$22,U$9,0),4)</f>
        <v>1.0551999999999999</v>
      </c>
      <c r="V22" s="364">
        <f>ROUND(VLOOKUP(MID($E22,4,3),'[1]Wochentag F(WT)'!$B$7:$J$22,V$9,0),4)</f>
        <v>1.0297000000000001</v>
      </c>
      <c r="W22" s="364">
        <f>ROUND(VLOOKUP(MID($E22,4,3),'[1]Wochentag F(WT)'!$B$7:$J$22,W$9,0),4)</f>
        <v>0.97670000000000001</v>
      </c>
      <c r="X22" s="365">
        <f t="shared" si="2"/>
        <v>0.9352999999999998</v>
      </c>
      <c r="Y22" s="302">
        <v>350</v>
      </c>
      <c r="Z22" s="211"/>
    </row>
    <row r="23" spans="2:26" s="142" customFormat="1">
      <c r="B23" s="143">
        <v>12</v>
      </c>
      <c r="C23" s="144" t="str">
        <f t="shared" si="0"/>
        <v>EWK</v>
      </c>
      <c r="D23" s="61" t="s">
        <v>248</v>
      </c>
      <c r="E23" s="165" t="s">
        <v>256</v>
      </c>
      <c r="F23" s="360" t="str">
        <f>VLOOKUP($E23,'[1]BDEW-Standard'!$B$3:$M$158,F$9,0)</f>
        <v>DP3</v>
      </c>
      <c r="H23" s="361">
        <f>ROUND(VLOOKUP($E23,'[1]BDEW-Standard'!$B$3:$M$158,H$9,0),7)</f>
        <v>1.7110738999999999</v>
      </c>
      <c r="I23" s="361">
        <f>ROUND(VLOOKUP($E23,'[1]BDEW-Standard'!$B$3:$M$158,I$9,0),7)</f>
        <v>-35.799999999999997</v>
      </c>
      <c r="J23" s="361">
        <f>ROUND(VLOOKUP($E23,'[1]BDEW-Standard'!$B$3:$M$158,J$9,0),7)</f>
        <v>8.4</v>
      </c>
      <c r="K23" s="361">
        <f>ROUND(VLOOKUP($E23,'[1]BDEW-Standard'!$B$3:$M$158,K$9,0),7)</f>
        <v>7.02546E-2</v>
      </c>
      <c r="L23" s="362">
        <f>ROUND(VLOOKUP($E23,'[1]BDEW-Standard'!$B$3:$M$158,L$9,0),1)</f>
        <v>40</v>
      </c>
      <c r="M23" s="361">
        <f>ROUND(VLOOKUP($E23,'[1]BDEW-Standard'!$B$3:$M$158,M$9,0),7)</f>
        <v>-7.4538099999999996E-2</v>
      </c>
      <c r="N23" s="361">
        <f>ROUND(VLOOKUP($E23,'[1]BDEW-Standard'!$B$3:$M$158,N$9,0),7)</f>
        <v>1.0463005000000001</v>
      </c>
      <c r="O23" s="361">
        <f>ROUND(VLOOKUP($E23,'[1]BDEW-Standard'!$B$3:$M$158,O$9,0),7)</f>
        <v>-3.6719999999999998E-4</v>
      </c>
      <c r="P23" s="361">
        <f>ROUND(VLOOKUP($E23,'[1]BDEW-Standard'!$B$3:$M$158,P$9,0),7)</f>
        <v>6.2188199999999999E-2</v>
      </c>
      <c r="Q23" s="363">
        <f t="shared" si="1"/>
        <v>1.0000000773228386</v>
      </c>
      <c r="R23" s="364">
        <f>ROUND(VLOOKUP(MID($E23,4,3),'[1]Wochentag F(WT)'!$B$7:$J$22,R$9,0),4)</f>
        <v>1.0214000000000001</v>
      </c>
      <c r="S23" s="364">
        <f>ROUND(VLOOKUP(MID($E23,4,3),'[1]Wochentag F(WT)'!$B$7:$J$22,S$9,0),4)</f>
        <v>1.0866</v>
      </c>
      <c r="T23" s="364">
        <f>ROUND(VLOOKUP(MID($E23,4,3),'[1]Wochentag F(WT)'!$B$7:$J$22,T$9,0),4)</f>
        <v>1.0720000000000001</v>
      </c>
      <c r="U23" s="364">
        <f>ROUND(VLOOKUP(MID($E23,4,3),'[1]Wochentag F(WT)'!$B$7:$J$22,U$9,0),4)</f>
        <v>1.0557000000000001</v>
      </c>
      <c r="V23" s="364">
        <f>ROUND(VLOOKUP(MID($E23,4,3),'[1]Wochentag F(WT)'!$B$7:$J$22,V$9,0),4)</f>
        <v>1.0117</v>
      </c>
      <c r="W23" s="364">
        <f>ROUND(VLOOKUP(MID($E23,4,3),'[1]Wochentag F(WT)'!$B$7:$J$22,W$9,0),4)</f>
        <v>0.90010000000000001</v>
      </c>
      <c r="X23" s="365">
        <f t="shared" si="2"/>
        <v>0.85249999999999915</v>
      </c>
      <c r="Y23" s="302">
        <v>350</v>
      </c>
      <c r="Z23" s="211"/>
    </row>
    <row r="24" spans="2:26" s="142" customFormat="1">
      <c r="B24" s="143">
        <v>13</v>
      </c>
      <c r="C24" s="144" t="str">
        <f t="shared" si="0"/>
        <v>EWK</v>
      </c>
      <c r="D24" s="61" t="s">
        <v>248</v>
      </c>
      <c r="E24" s="165" t="s">
        <v>4</v>
      </c>
      <c r="F24" s="360" t="str">
        <f>VLOOKUP($E24,'[1]BDEW-Standard'!$B$3:$M$158,F$9,0)</f>
        <v>HK3</v>
      </c>
      <c r="H24" s="361">
        <f>ROUND(VLOOKUP($E24,'[1]BDEW-Standard'!$B$3:$M$158,H$9,0),7)</f>
        <v>0.40409319999999999</v>
      </c>
      <c r="I24" s="361">
        <f>ROUND(VLOOKUP($E24,'[1]BDEW-Standard'!$B$3:$M$158,I$9,0),7)</f>
        <v>-24.439296800000001</v>
      </c>
      <c r="J24" s="361">
        <f>ROUND(VLOOKUP($E24,'[1]BDEW-Standard'!$B$3:$M$158,J$9,0),7)</f>
        <v>6.5718174999999999</v>
      </c>
      <c r="K24" s="361">
        <f>ROUND(VLOOKUP($E24,'[1]BDEW-Standard'!$B$3:$M$158,K$9,0),7)</f>
        <v>0.71077100000000004</v>
      </c>
      <c r="L24" s="362">
        <f>ROUND(VLOOKUP($E24,'[1]BDEW-Standard'!$B$3:$M$158,L$9,0),1)</f>
        <v>40</v>
      </c>
      <c r="M24" s="361">
        <f>ROUND(VLOOKUP($E24,'[1]BDEW-Standard'!$B$3:$M$158,M$9,0),7)</f>
        <v>0</v>
      </c>
      <c r="N24" s="361">
        <f>ROUND(VLOOKUP($E24,'[1]BDEW-Standard'!$B$3:$M$158,N$9,0),7)</f>
        <v>0</v>
      </c>
      <c r="O24" s="361">
        <f>ROUND(VLOOKUP($E24,'[1]BDEW-Standard'!$B$3:$M$158,O$9,0),7)</f>
        <v>0</v>
      </c>
      <c r="P24" s="361">
        <f>ROUND(VLOOKUP($E24,'[1]BDEW-Standard'!$B$3:$M$158,P$9,0),7)</f>
        <v>0</v>
      </c>
      <c r="Q24" s="363">
        <f t="shared" si="1"/>
        <v>1.0561214000512988</v>
      </c>
      <c r="R24" s="364">
        <f>ROUND(VLOOKUP(MID($E24,4,3),'[1]Wochentag F(WT)'!$B$7:$J$22,R$9,0),4)</f>
        <v>1</v>
      </c>
      <c r="S24" s="364">
        <f>ROUND(VLOOKUP(MID($E24,4,3),'[1]Wochentag F(WT)'!$B$7:$J$22,S$9,0),4)</f>
        <v>1</v>
      </c>
      <c r="T24" s="364">
        <f>ROUND(VLOOKUP(MID($E24,4,3),'[1]Wochentag F(WT)'!$B$7:$J$22,T$9,0),4)</f>
        <v>1</v>
      </c>
      <c r="U24" s="364">
        <f>ROUND(VLOOKUP(MID($E24,4,3),'[1]Wochentag F(WT)'!$B$7:$J$22,U$9,0),4)</f>
        <v>1</v>
      </c>
      <c r="V24" s="364">
        <f>ROUND(VLOOKUP(MID($E24,4,3),'[1]Wochentag F(WT)'!$B$7:$J$22,V$9,0),4)</f>
        <v>1</v>
      </c>
      <c r="W24" s="364">
        <f>ROUND(VLOOKUP(MID($E24,4,3),'[1]Wochentag F(WT)'!$B$7:$J$22,W$9,0),4)</f>
        <v>1</v>
      </c>
      <c r="X24" s="365">
        <f t="shared" si="2"/>
        <v>1</v>
      </c>
      <c r="Y24" s="302">
        <v>350</v>
      </c>
      <c r="Z24" s="211"/>
    </row>
    <row r="25" spans="2:26" s="142" customFormat="1">
      <c r="B25" s="143"/>
      <c r="C25" s="144"/>
      <c r="D25" s="61"/>
      <c r="E25" s="164"/>
      <c r="F25" s="306"/>
      <c r="H25" s="277"/>
      <c r="I25" s="277"/>
      <c r="J25" s="277"/>
      <c r="K25" s="277"/>
      <c r="L25" s="278"/>
      <c r="M25" s="277"/>
      <c r="N25" s="277"/>
      <c r="O25" s="277"/>
      <c r="P25" s="277"/>
      <c r="Q25" s="279"/>
      <c r="R25" s="280"/>
      <c r="S25" s="280"/>
      <c r="T25" s="280"/>
      <c r="U25" s="280"/>
      <c r="V25" s="280"/>
      <c r="W25" s="280"/>
      <c r="X25" s="281"/>
      <c r="Y25" s="302"/>
      <c r="Z25" s="211"/>
    </row>
    <row r="26" spans="2:26" s="142" customFormat="1">
      <c r="B26" s="143"/>
      <c r="C26" s="144"/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/>
      <c r="C27" s="144"/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/>
      <c r="C28" s="144"/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/>
      <c r="C29" s="144"/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/>
      <c r="C30" s="144"/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/>
      <c r="C31" s="144"/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/>
      <c r="C32" s="144"/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/>
      <c r="C33" s="144"/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/>
      <c r="C34" s="144"/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/>
      <c r="C35" s="144"/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/>
      <c r="C36" s="144"/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/>
      <c r="C37" s="144"/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/>
      <c r="C38" s="144"/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/>
      <c r="C39" s="144"/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/>
      <c r="C40" s="144"/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/>
      <c r="C41" s="144"/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 H11:Y11 H25:Y41 F25:F41 Y12:Y24">
    <cfRule type="expression" dxfId="14" priority="13">
      <formula>ISERROR(F11)</formula>
    </cfRule>
  </conditionalFormatting>
  <conditionalFormatting sqref="E25:F41 Y12:Y41">
    <cfRule type="duplicateValues" dxfId="13" priority="35"/>
  </conditionalFormatting>
  <conditionalFormatting sqref="F12:F24 H12:K24 M12:P24 R12:X24">
    <cfRule type="expression" dxfId="12" priority="3">
      <formula>ISERROR(F12)</formula>
    </cfRule>
  </conditionalFormatting>
  <conditionalFormatting sqref="E12:F24">
    <cfRule type="duplicateValues" dxfId="11" priority="4"/>
  </conditionalFormatting>
  <conditionalFormatting sqref="L12:L24">
    <cfRule type="expression" dxfId="10" priority="2">
      <formula>ISERROR(L12)</formula>
    </cfRule>
  </conditionalFormatting>
  <conditionalFormatting sqref="Q12:Q24">
    <cfRule type="expression" dxfId="9" priority="1">
      <formula>ISERROR(Q12)</formula>
    </cfRule>
  </conditionalFormatting>
  <dataValidations disablePrompts="1"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K24 M12:X24 C13:C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353</v>
      </c>
      <c r="B1" s="215">
        <v>42173</v>
      </c>
      <c r="D1" s="130" t="s">
        <v>441</v>
      </c>
      <c r="F1" s="216" t="s">
        <v>537</v>
      </c>
      <c r="N1" s="217"/>
    </row>
    <row r="2" spans="1:14" ht="25.5">
      <c r="A2" s="218" t="s">
        <v>277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323</v>
      </c>
      <c r="D95" s="234" t="s">
        <v>278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328</v>
      </c>
      <c r="D96" s="234" t="s">
        <v>278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333</v>
      </c>
      <c r="D97" s="234" t="s">
        <v>278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338</v>
      </c>
      <c r="D98" s="234" t="s">
        <v>278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291</v>
      </c>
      <c r="D99" s="234" t="s">
        <v>278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295</v>
      </c>
      <c r="D100" s="234" t="s">
        <v>278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299</v>
      </c>
      <c r="D101" s="234" t="s">
        <v>278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303</v>
      </c>
      <c r="D102" s="234" t="s">
        <v>278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307</v>
      </c>
      <c r="D103" s="234" t="s">
        <v>278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311</v>
      </c>
      <c r="D104" s="234" t="s">
        <v>278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315</v>
      </c>
      <c r="D105" s="234" t="s">
        <v>278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319</v>
      </c>
      <c r="D106" s="234" t="s">
        <v>278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324</v>
      </c>
      <c r="D107" s="234" t="s">
        <v>278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329</v>
      </c>
      <c r="D108" s="234" t="s">
        <v>278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334</v>
      </c>
      <c r="D109" s="234" t="s">
        <v>278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339</v>
      </c>
      <c r="D110" s="234" t="s">
        <v>278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279</v>
      </c>
      <c r="D111" s="234" t="s">
        <v>278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280</v>
      </c>
      <c r="D112" s="234" t="s">
        <v>278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281</v>
      </c>
      <c r="D113" s="234" t="s">
        <v>278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282</v>
      </c>
      <c r="D114" s="234" t="s">
        <v>278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292</v>
      </c>
      <c r="D115" s="234" t="s">
        <v>278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296</v>
      </c>
      <c r="D116" s="234" t="s">
        <v>278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300</v>
      </c>
      <c r="D117" s="234" t="s">
        <v>278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304</v>
      </c>
      <c r="D118" s="234" t="s">
        <v>278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283</v>
      </c>
      <c r="D119" s="234" t="s">
        <v>278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285</v>
      </c>
      <c r="D120" s="234" t="s">
        <v>278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287</v>
      </c>
      <c r="D121" s="234" t="s">
        <v>278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289</v>
      </c>
      <c r="D122" s="234" t="s">
        <v>278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325</v>
      </c>
      <c r="D123" s="234" t="s">
        <v>278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330</v>
      </c>
      <c r="D124" s="234" t="s">
        <v>278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335</v>
      </c>
      <c r="D125" s="234" t="s">
        <v>278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340</v>
      </c>
      <c r="D126" s="234" t="s">
        <v>278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293</v>
      </c>
      <c r="D127" s="234" t="s">
        <v>278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297</v>
      </c>
      <c r="D128" s="234" t="s">
        <v>278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301</v>
      </c>
      <c r="D129" s="234" t="s">
        <v>278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305</v>
      </c>
      <c r="D130" s="234" t="s">
        <v>278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294</v>
      </c>
      <c r="D131" s="234" t="s">
        <v>278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298</v>
      </c>
      <c r="D132" s="234" t="s">
        <v>278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302</v>
      </c>
      <c r="D133" s="234" t="s">
        <v>278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306</v>
      </c>
      <c r="D134" s="234" t="s">
        <v>278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308</v>
      </c>
      <c r="D135" s="234" t="s">
        <v>278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312</v>
      </c>
      <c r="D136" s="234" t="s">
        <v>278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316</v>
      </c>
      <c r="D137" s="234" t="s">
        <v>278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320</v>
      </c>
      <c r="D138" s="234" t="s">
        <v>278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309</v>
      </c>
      <c r="D139" s="234" t="s">
        <v>278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313</v>
      </c>
      <c r="D140" s="234" t="s">
        <v>278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317</v>
      </c>
      <c r="D141" s="234" t="s">
        <v>278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321</v>
      </c>
      <c r="D142" s="234" t="s">
        <v>278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284</v>
      </c>
      <c r="D143" s="234" t="s">
        <v>278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286</v>
      </c>
      <c r="D144" s="234" t="s">
        <v>278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288</v>
      </c>
      <c r="D145" s="234" t="s">
        <v>278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290</v>
      </c>
      <c r="D146" s="234" t="s">
        <v>278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310</v>
      </c>
      <c r="D147" s="234" t="s">
        <v>278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314</v>
      </c>
      <c r="D148" s="234" t="s">
        <v>278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318</v>
      </c>
      <c r="D149" s="234" t="s">
        <v>278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322</v>
      </c>
      <c r="D150" s="234" t="s">
        <v>278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326</v>
      </c>
      <c r="D151" s="234" t="s">
        <v>278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331</v>
      </c>
      <c r="D152" s="234" t="s">
        <v>278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336</v>
      </c>
      <c r="D153" s="234" t="s">
        <v>278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341</v>
      </c>
      <c r="D154" s="234" t="s">
        <v>278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327</v>
      </c>
      <c r="D155" s="234" t="s">
        <v>278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332</v>
      </c>
      <c r="D156" s="234" t="s">
        <v>278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337</v>
      </c>
      <c r="D157" s="234" t="s">
        <v>278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342</v>
      </c>
      <c r="D158" s="234" t="s">
        <v>278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433</v>
      </c>
    </row>
    <row r="3" spans="2:30" ht="15" customHeight="1">
      <c r="B3" s="83"/>
    </row>
    <row r="4" spans="2:30" ht="15" customHeight="1">
      <c r="B4" s="84" t="s">
        <v>432</v>
      </c>
      <c r="C4" s="62" t="str">
        <f>Netzbetreiber!$D$9</f>
        <v>Energie- und Wasserversorgung Kirchzarten GmbH</v>
      </c>
      <c r="D4" s="75"/>
      <c r="G4" s="75"/>
      <c r="I4" s="75"/>
      <c r="J4" s="76"/>
      <c r="M4" s="85" t="s">
        <v>531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431</v>
      </c>
      <c r="C5" s="63" t="str">
        <f>Netzbetreiber!D28</f>
        <v>EWK</v>
      </c>
      <c r="D5" s="37"/>
      <c r="E5" s="75"/>
      <c r="F5" s="75"/>
      <c r="G5" s="75"/>
      <c r="I5" s="75"/>
      <c r="J5" s="75"/>
      <c r="K5" s="75"/>
      <c r="L5" s="75"/>
      <c r="M5" s="87" t="s">
        <v>498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429</v>
      </c>
      <c r="C6" s="62" t="str">
        <f>Netzbetreiber!$D$11</f>
        <v>9870103600002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42644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93" t="s">
        <v>445</v>
      </c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5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454</v>
      </c>
      <c r="N9" s="90" t="s">
        <v>378</v>
      </c>
      <c r="O9" s="91" t="s">
        <v>379</v>
      </c>
      <c r="P9" s="91" t="s">
        <v>380</v>
      </c>
      <c r="Q9" s="91" t="s">
        <v>381</v>
      </c>
      <c r="R9" s="91" t="s">
        <v>382</v>
      </c>
      <c r="S9" s="91" t="s">
        <v>383</v>
      </c>
      <c r="T9" s="91" t="s">
        <v>384</v>
      </c>
      <c r="U9" s="91" t="s">
        <v>385</v>
      </c>
      <c r="V9" s="91" t="s">
        <v>386</v>
      </c>
      <c r="W9" s="91" t="s">
        <v>387</v>
      </c>
      <c r="X9" s="91" t="s">
        <v>388</v>
      </c>
      <c r="Y9" s="91" t="s">
        <v>389</v>
      </c>
      <c r="Z9" s="91" t="s">
        <v>390</v>
      </c>
      <c r="AA9" s="91" t="s">
        <v>391</v>
      </c>
      <c r="AB9" s="91" t="s">
        <v>392</v>
      </c>
      <c r="AC9" s="92" t="s">
        <v>393</v>
      </c>
      <c r="AD9" s="92" t="s">
        <v>427</v>
      </c>
    </row>
    <row r="10" spans="2:30" ht="72" customHeight="1" thickBot="1">
      <c r="B10" s="398" t="s">
        <v>575</v>
      </c>
      <c r="C10" s="399"/>
      <c r="D10" s="93">
        <v>2</v>
      </c>
      <c r="E10" s="94" t="str">
        <f>IF(ISERROR(HLOOKUP(E$11,$M$9:$AD$35,$D10,0)),"",HLOOKUP(E$11,$M$9:$AD$35,$D10,0))</f>
        <v/>
      </c>
      <c r="F10" s="396" t="s">
        <v>403</v>
      </c>
      <c r="G10" s="396"/>
      <c r="H10" s="396"/>
      <c r="I10" s="396"/>
      <c r="J10" s="396"/>
      <c r="K10" s="396"/>
      <c r="L10" s="397"/>
      <c r="M10" s="95" t="s">
        <v>455</v>
      </c>
      <c r="N10" s="96" t="s">
        <v>456</v>
      </c>
      <c r="O10" s="97" t="s">
        <v>457</v>
      </c>
      <c r="P10" s="98" t="s">
        <v>458</v>
      </c>
      <c r="Q10" s="98" t="s">
        <v>459</v>
      </c>
      <c r="R10" s="98" t="s">
        <v>460</v>
      </c>
      <c r="S10" s="98" t="s">
        <v>461</v>
      </c>
      <c r="T10" s="98" t="s">
        <v>462</v>
      </c>
      <c r="U10" s="98" t="s">
        <v>463</v>
      </c>
      <c r="V10" s="98" t="s">
        <v>464</v>
      </c>
      <c r="W10" s="98" t="s">
        <v>465</v>
      </c>
      <c r="X10" s="98" t="s">
        <v>466</v>
      </c>
      <c r="Y10" s="98" t="s">
        <v>467</v>
      </c>
      <c r="Z10" s="98" t="s">
        <v>468</v>
      </c>
      <c r="AA10" s="98" t="s">
        <v>469</v>
      </c>
      <c r="AB10" s="98" t="s">
        <v>470</v>
      </c>
      <c r="AC10" s="99" t="s">
        <v>471</v>
      </c>
      <c r="AD10" s="100" t="s">
        <v>428</v>
      </c>
    </row>
    <row r="11" spans="2:30" ht="15.75" thickBot="1">
      <c r="B11" s="101" t="s">
        <v>426</v>
      </c>
      <c r="C11" s="102"/>
      <c r="D11" s="103">
        <v>3</v>
      </c>
      <c r="E11" s="104"/>
      <c r="F11" s="105" t="s">
        <v>395</v>
      </c>
      <c r="G11" s="106" t="s">
        <v>396</v>
      </c>
      <c r="H11" s="106" t="s">
        <v>397</v>
      </c>
      <c r="I11" s="106" t="s">
        <v>398</v>
      </c>
      <c r="J11" s="106" t="s">
        <v>399</v>
      </c>
      <c r="K11" s="106" t="s">
        <v>400</v>
      </c>
      <c r="L11" s="107" t="s">
        <v>401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1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404</v>
      </c>
      <c r="C12" s="109"/>
      <c r="D12" s="110">
        <v>4</v>
      </c>
      <c r="E12" s="313">
        <f>MIN(SUMPRODUCT($M$11:$AD$11,M12:AD12),1)</f>
        <v>1</v>
      </c>
      <c r="F12" s="310" t="s">
        <v>401</v>
      </c>
      <c r="G12" s="77" t="s">
        <v>401</v>
      </c>
      <c r="H12" s="77" t="s">
        <v>401</v>
      </c>
      <c r="I12" s="77" t="s">
        <v>401</v>
      </c>
      <c r="J12" s="77" t="s">
        <v>401</v>
      </c>
      <c r="K12" s="77" t="s">
        <v>401</v>
      </c>
      <c r="L12" s="78" t="s">
        <v>401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405</v>
      </c>
      <c r="C13" s="116"/>
      <c r="D13" s="110">
        <v>5</v>
      </c>
      <c r="E13" s="314">
        <f t="shared" ref="E13:E35" si="0">MIN(SUMPRODUCT($M$11:$AD$11,M13:AD13),1)</f>
        <v>1</v>
      </c>
      <c r="F13" s="311" t="s">
        <v>401</v>
      </c>
      <c r="G13" s="79" t="s">
        <v>401</v>
      </c>
      <c r="H13" s="79" t="s">
        <v>401</v>
      </c>
      <c r="I13" s="79" t="s">
        <v>401</v>
      </c>
      <c r="J13" s="79" t="s">
        <v>401</v>
      </c>
      <c r="K13" s="79" t="s">
        <v>401</v>
      </c>
      <c r="L13" s="80" t="s">
        <v>401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406</v>
      </c>
      <c r="C14" s="116"/>
      <c r="D14" s="110">
        <v>6</v>
      </c>
      <c r="E14" s="314">
        <f t="shared" si="0"/>
        <v>0</v>
      </c>
      <c r="F14" s="311" t="s">
        <v>401</v>
      </c>
      <c r="G14" s="79" t="s">
        <v>407</v>
      </c>
      <c r="H14" s="79" t="s">
        <v>407</v>
      </c>
      <c r="I14" s="79" t="s">
        <v>407</v>
      </c>
      <c r="J14" s="79" t="s">
        <v>407</v>
      </c>
      <c r="K14" s="79" t="s">
        <v>407</v>
      </c>
      <c r="L14" s="80" t="s">
        <v>407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408</v>
      </c>
      <c r="C15" s="116"/>
      <c r="D15" s="110">
        <v>7</v>
      </c>
      <c r="E15" s="314">
        <f t="shared" si="0"/>
        <v>0</v>
      </c>
      <c r="F15" s="311" t="s">
        <v>407</v>
      </c>
      <c r="G15" s="79" t="s">
        <v>400</v>
      </c>
      <c r="H15" s="79" t="s">
        <v>407</v>
      </c>
      <c r="I15" s="79" t="s">
        <v>407</v>
      </c>
      <c r="J15" s="79" t="s">
        <v>407</v>
      </c>
      <c r="K15" s="79" t="s">
        <v>407</v>
      </c>
      <c r="L15" s="80" t="s">
        <v>407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420</v>
      </c>
      <c r="C16" s="116"/>
      <c r="D16" s="110">
        <v>8</v>
      </c>
      <c r="E16" s="314">
        <f t="shared" si="0"/>
        <v>1</v>
      </c>
      <c r="F16" s="311" t="s">
        <v>407</v>
      </c>
      <c r="G16" s="79" t="s">
        <v>407</v>
      </c>
      <c r="H16" s="79" t="s">
        <v>407</v>
      </c>
      <c r="I16" s="79" t="s">
        <v>407</v>
      </c>
      <c r="J16" s="79" t="s">
        <v>401</v>
      </c>
      <c r="K16" s="79" t="s">
        <v>407</v>
      </c>
      <c r="L16" s="80" t="s">
        <v>407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421</v>
      </c>
      <c r="C17" s="116"/>
      <c r="D17" s="110">
        <v>9</v>
      </c>
      <c r="E17" s="314">
        <f t="shared" si="0"/>
        <v>1</v>
      </c>
      <c r="F17" s="311" t="s">
        <v>407</v>
      </c>
      <c r="G17" s="79" t="s">
        <v>407</v>
      </c>
      <c r="H17" s="79" t="s">
        <v>407</v>
      </c>
      <c r="I17" s="79" t="s">
        <v>407</v>
      </c>
      <c r="J17" s="79" t="s">
        <v>407</v>
      </c>
      <c r="K17" s="79" t="s">
        <v>407</v>
      </c>
      <c r="L17" s="80" t="s">
        <v>401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422</v>
      </c>
      <c r="C18" s="116"/>
      <c r="D18" s="110">
        <v>10</v>
      </c>
      <c r="E18" s="314">
        <f t="shared" si="0"/>
        <v>1</v>
      </c>
      <c r="F18" s="311" t="s">
        <v>401</v>
      </c>
      <c r="G18" s="79" t="s">
        <v>407</v>
      </c>
      <c r="H18" s="79" t="s">
        <v>407</v>
      </c>
      <c r="I18" s="79" t="s">
        <v>407</v>
      </c>
      <c r="J18" s="79" t="s">
        <v>407</v>
      </c>
      <c r="K18" s="79" t="s">
        <v>407</v>
      </c>
      <c r="L18" s="80" t="s">
        <v>407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629</v>
      </c>
      <c r="C19" s="339"/>
      <c r="D19" s="110"/>
      <c r="E19" s="314">
        <v>1</v>
      </c>
      <c r="F19" s="311" t="s">
        <v>401</v>
      </c>
      <c r="G19" s="79" t="s">
        <v>401</v>
      </c>
      <c r="H19" s="79" t="s">
        <v>401</v>
      </c>
      <c r="I19" s="79" t="s">
        <v>401</v>
      </c>
      <c r="J19" s="79" t="s">
        <v>401</v>
      </c>
      <c r="K19" s="79" t="s">
        <v>401</v>
      </c>
      <c r="L19" s="80" t="s">
        <v>401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409</v>
      </c>
      <c r="C20" s="116"/>
      <c r="D20" s="110">
        <v>11</v>
      </c>
      <c r="E20" s="314">
        <f t="shared" si="0"/>
        <v>1</v>
      </c>
      <c r="F20" s="311" t="s">
        <v>401</v>
      </c>
      <c r="G20" s="79" t="s">
        <v>401</v>
      </c>
      <c r="H20" s="79" t="s">
        <v>401</v>
      </c>
      <c r="I20" s="79" t="s">
        <v>401</v>
      </c>
      <c r="J20" s="79" t="s">
        <v>401</v>
      </c>
      <c r="K20" s="79" t="s">
        <v>401</v>
      </c>
      <c r="L20" s="80" t="s">
        <v>401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627</v>
      </c>
      <c r="C21" s="116"/>
      <c r="D21" s="110">
        <v>12</v>
      </c>
      <c r="E21" s="314">
        <f t="shared" si="0"/>
        <v>1</v>
      </c>
      <c r="F21" s="311" t="s">
        <v>407</v>
      </c>
      <c r="G21" s="79" t="s">
        <v>407</v>
      </c>
      <c r="H21" s="79" t="s">
        <v>407</v>
      </c>
      <c r="I21" s="79" t="s">
        <v>401</v>
      </c>
      <c r="J21" s="79" t="s">
        <v>407</v>
      </c>
      <c r="K21" s="79" t="s">
        <v>407</v>
      </c>
      <c r="L21" s="80" t="s">
        <v>407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423</v>
      </c>
      <c r="C22" s="116"/>
      <c r="D22" s="110">
        <v>13</v>
      </c>
      <c r="E22" s="314">
        <f t="shared" si="0"/>
        <v>1</v>
      </c>
      <c r="F22" s="311" t="s">
        <v>407</v>
      </c>
      <c r="G22" s="79" t="s">
        <v>407</v>
      </c>
      <c r="H22" s="79" t="s">
        <v>407</v>
      </c>
      <c r="I22" s="79" t="s">
        <v>407</v>
      </c>
      <c r="J22" s="79" t="s">
        <v>407</v>
      </c>
      <c r="K22" s="79" t="s">
        <v>407</v>
      </c>
      <c r="L22" s="80" t="s">
        <v>401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424</v>
      </c>
      <c r="C23" s="116"/>
      <c r="D23" s="110">
        <v>14</v>
      </c>
      <c r="E23" s="314">
        <f t="shared" si="0"/>
        <v>1</v>
      </c>
      <c r="F23" s="311" t="s">
        <v>401</v>
      </c>
      <c r="G23" s="79" t="s">
        <v>407</v>
      </c>
      <c r="H23" s="79" t="s">
        <v>407</v>
      </c>
      <c r="I23" s="79" t="s">
        <v>407</v>
      </c>
      <c r="J23" s="79" t="s">
        <v>407</v>
      </c>
      <c r="K23" s="79" t="s">
        <v>407</v>
      </c>
      <c r="L23" s="80" t="s">
        <v>407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425</v>
      </c>
      <c r="C24" s="116"/>
      <c r="D24" s="110">
        <v>15</v>
      </c>
      <c r="E24" s="314">
        <f t="shared" si="0"/>
        <v>1</v>
      </c>
      <c r="F24" s="311" t="s">
        <v>407</v>
      </c>
      <c r="G24" s="79" t="s">
        <v>407</v>
      </c>
      <c r="H24" s="79" t="s">
        <v>407</v>
      </c>
      <c r="I24" s="79" t="s">
        <v>401</v>
      </c>
      <c r="J24" s="79" t="s">
        <v>407</v>
      </c>
      <c r="K24" s="79" t="s">
        <v>407</v>
      </c>
      <c r="L24" s="80" t="s">
        <v>407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410</v>
      </c>
      <c r="C25" s="116"/>
      <c r="D25" s="110">
        <v>16</v>
      </c>
      <c r="E25" s="314">
        <f t="shared" si="0"/>
        <v>0</v>
      </c>
      <c r="F25" s="311" t="s">
        <v>401</v>
      </c>
      <c r="G25" s="79" t="s">
        <v>401</v>
      </c>
      <c r="H25" s="79" t="s">
        <v>401</v>
      </c>
      <c r="I25" s="79" t="s">
        <v>401</v>
      </c>
      <c r="J25" s="79" t="s">
        <v>401</v>
      </c>
      <c r="K25" s="79" t="s">
        <v>401</v>
      </c>
      <c r="L25" s="80" t="s">
        <v>401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411</v>
      </c>
      <c r="C26" s="116"/>
      <c r="D26" s="110">
        <v>17</v>
      </c>
      <c r="E26" s="314">
        <f t="shared" si="0"/>
        <v>0</v>
      </c>
      <c r="F26" s="311" t="s">
        <v>401</v>
      </c>
      <c r="G26" s="79" t="s">
        <v>401</v>
      </c>
      <c r="H26" s="79" t="s">
        <v>401</v>
      </c>
      <c r="I26" s="79" t="s">
        <v>401</v>
      </c>
      <c r="J26" s="79" t="s">
        <v>401</v>
      </c>
      <c r="K26" s="79" t="s">
        <v>401</v>
      </c>
      <c r="L26" s="80" t="s">
        <v>401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628</v>
      </c>
      <c r="C27" s="339"/>
      <c r="D27" s="110"/>
      <c r="E27" s="314">
        <v>1</v>
      </c>
      <c r="F27" s="311" t="s">
        <v>401</v>
      </c>
      <c r="G27" s="79" t="s">
        <v>401</v>
      </c>
      <c r="H27" s="79" t="s">
        <v>401</v>
      </c>
      <c r="I27" s="79" t="s">
        <v>401</v>
      </c>
      <c r="J27" s="79" t="s">
        <v>401</v>
      </c>
      <c r="K27" s="79" t="s">
        <v>401</v>
      </c>
      <c r="L27" s="80" t="s">
        <v>401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412</v>
      </c>
      <c r="C28" s="116"/>
      <c r="D28" s="110">
        <v>18</v>
      </c>
      <c r="E28" s="314">
        <f t="shared" si="0"/>
        <v>1</v>
      </c>
      <c r="F28" s="311" t="s">
        <v>401</v>
      </c>
      <c r="G28" s="79" t="s">
        <v>401</v>
      </c>
      <c r="H28" s="79" t="s">
        <v>401</v>
      </c>
      <c r="I28" s="79" t="s">
        <v>401</v>
      </c>
      <c r="J28" s="79" t="s">
        <v>401</v>
      </c>
      <c r="K28" s="79" t="s">
        <v>401</v>
      </c>
      <c r="L28" s="80" t="s">
        <v>401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413</v>
      </c>
      <c r="C29" s="339"/>
      <c r="D29" s="340">
        <v>19</v>
      </c>
      <c r="E29" s="341">
        <v>1</v>
      </c>
      <c r="F29" s="311" t="s">
        <v>401</v>
      </c>
      <c r="G29" s="311" t="s">
        <v>401</v>
      </c>
      <c r="H29" s="311" t="s">
        <v>401</v>
      </c>
      <c r="I29" s="311" t="s">
        <v>401</v>
      </c>
      <c r="J29" s="311" t="s">
        <v>401</v>
      </c>
      <c r="K29" s="311" t="s">
        <v>401</v>
      </c>
      <c r="L29" s="311" t="s">
        <v>401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414</v>
      </c>
      <c r="C30" s="116"/>
      <c r="D30" s="110">
        <v>20</v>
      </c>
      <c r="E30" s="314">
        <f t="shared" si="0"/>
        <v>1</v>
      </c>
      <c r="F30" s="311" t="s">
        <v>401</v>
      </c>
      <c r="G30" s="79" t="s">
        <v>401</v>
      </c>
      <c r="H30" s="79" t="s">
        <v>401</v>
      </c>
      <c r="I30" s="79" t="s">
        <v>401</v>
      </c>
      <c r="J30" s="79" t="s">
        <v>401</v>
      </c>
      <c r="K30" s="79" t="s">
        <v>401</v>
      </c>
      <c r="L30" s="80" t="s">
        <v>401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415</v>
      </c>
      <c r="C31" s="116"/>
      <c r="D31" s="110">
        <v>21</v>
      </c>
      <c r="E31" s="314">
        <f t="shared" si="0"/>
        <v>0</v>
      </c>
      <c r="F31" s="311" t="s">
        <v>407</v>
      </c>
      <c r="G31" s="79" t="s">
        <v>407</v>
      </c>
      <c r="H31" s="79" t="s">
        <v>401</v>
      </c>
      <c r="I31" s="79" t="s">
        <v>407</v>
      </c>
      <c r="J31" s="79" t="s">
        <v>407</v>
      </c>
      <c r="K31" s="79" t="s">
        <v>407</v>
      </c>
      <c r="L31" s="80" t="s">
        <v>407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416</v>
      </c>
      <c r="C32" s="116"/>
      <c r="D32" s="110">
        <v>22</v>
      </c>
      <c r="E32" s="314">
        <f t="shared" si="0"/>
        <v>0</v>
      </c>
      <c r="F32" s="311" t="s">
        <v>400</v>
      </c>
      <c r="G32" s="79" t="s">
        <v>400</v>
      </c>
      <c r="H32" s="79" t="s">
        <v>400</v>
      </c>
      <c r="I32" s="79" t="s">
        <v>400</v>
      </c>
      <c r="J32" s="79" t="s">
        <v>400</v>
      </c>
      <c r="K32" s="79" t="s">
        <v>400</v>
      </c>
      <c r="L32" s="80" t="s">
        <v>401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417</v>
      </c>
      <c r="C33" s="116"/>
      <c r="D33" s="110">
        <v>23</v>
      </c>
      <c r="E33" s="314">
        <f t="shared" si="0"/>
        <v>1</v>
      </c>
      <c r="F33" s="311" t="s">
        <v>401</v>
      </c>
      <c r="G33" s="79" t="s">
        <v>401</v>
      </c>
      <c r="H33" s="79" t="s">
        <v>401</v>
      </c>
      <c r="I33" s="79" t="s">
        <v>401</v>
      </c>
      <c r="J33" s="79" t="s">
        <v>401</v>
      </c>
      <c r="K33" s="79" t="s">
        <v>401</v>
      </c>
      <c r="L33" s="80" t="s">
        <v>401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418</v>
      </c>
      <c r="C34" s="116"/>
      <c r="D34" s="110">
        <v>24</v>
      </c>
      <c r="E34" s="314">
        <f t="shared" si="0"/>
        <v>1</v>
      </c>
      <c r="F34" s="311" t="s">
        <v>401</v>
      </c>
      <c r="G34" s="79" t="s">
        <v>401</v>
      </c>
      <c r="H34" s="79" t="s">
        <v>401</v>
      </c>
      <c r="I34" s="79" t="s">
        <v>401</v>
      </c>
      <c r="J34" s="79" t="s">
        <v>401</v>
      </c>
      <c r="K34" s="79" t="s">
        <v>401</v>
      </c>
      <c r="L34" s="80" t="s">
        <v>401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419</v>
      </c>
      <c r="C35" s="122"/>
      <c r="D35" s="123">
        <v>25</v>
      </c>
      <c r="E35" s="315">
        <f t="shared" si="0"/>
        <v>0</v>
      </c>
      <c r="F35" s="312" t="s">
        <v>400</v>
      </c>
      <c r="G35" s="81" t="s">
        <v>400</v>
      </c>
      <c r="H35" s="81" t="s">
        <v>400</v>
      </c>
      <c r="I35" s="81" t="s">
        <v>400</v>
      </c>
      <c r="J35" s="81" t="s">
        <v>400</v>
      </c>
      <c r="K35" s="81" t="s">
        <v>400</v>
      </c>
      <c r="L35" s="82" t="s">
        <v>401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119-9B9F-4893-ABF6-75DD6930C0CC}">
  <dimension ref="B2:D111"/>
  <sheetViews>
    <sheetView zoomScale="85" zoomScaleNormal="85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D119" sqref="D119"/>
    </sheetView>
  </sheetViews>
  <sheetFormatPr baseColWidth="10" defaultColWidth="11.42578125" defaultRowHeight="15"/>
  <cols>
    <col min="1" max="1" width="11.42578125" style="350"/>
    <col min="2" max="3" width="14.140625" style="350" bestFit="1" customWidth="1"/>
    <col min="4" max="4" width="88.140625" style="350" bestFit="1" customWidth="1"/>
    <col min="5" max="16384" width="11.42578125" style="350"/>
  </cols>
  <sheetData>
    <row r="2" spans="2:4" ht="15.75">
      <c r="B2" s="366" t="s">
        <v>643</v>
      </c>
      <c r="C2" s="367" t="s">
        <v>644</v>
      </c>
      <c r="D2" s="368" t="s">
        <v>653</v>
      </c>
    </row>
    <row r="3" spans="2:4">
      <c r="B3" s="369">
        <v>42644</v>
      </c>
      <c r="C3" s="370">
        <v>42674</v>
      </c>
      <c r="D3" s="385">
        <v>10.189193548387101</v>
      </c>
    </row>
    <row r="4" spans="2:4">
      <c r="B4" s="369">
        <v>42675</v>
      </c>
      <c r="C4" s="370">
        <v>42704</v>
      </c>
      <c r="D4" s="385">
        <v>6.2384999999999993</v>
      </c>
    </row>
    <row r="5" spans="2:4">
      <c r="B5" s="369">
        <v>42705</v>
      </c>
      <c r="C5" s="370">
        <v>42735</v>
      </c>
      <c r="D5" s="385">
        <v>2.9084946236559159</v>
      </c>
    </row>
    <row r="6" spans="2:4">
      <c r="B6" s="369">
        <v>42736</v>
      </c>
      <c r="C6" s="370">
        <v>42766</v>
      </c>
      <c r="D6" s="385">
        <v>1.5066359447004609</v>
      </c>
    </row>
    <row r="7" spans="2:4">
      <c r="B7" s="369">
        <v>42767</v>
      </c>
      <c r="C7" s="370">
        <v>42794</v>
      </c>
      <c r="D7" s="385">
        <v>1.17746192893401</v>
      </c>
    </row>
    <row r="8" spans="2:4">
      <c r="B8" s="369">
        <v>42795</v>
      </c>
      <c r="C8" s="370">
        <v>42825</v>
      </c>
      <c r="D8" s="385">
        <v>5.6243317972350271</v>
      </c>
    </row>
    <row r="9" spans="2:4">
      <c r="B9" s="369">
        <v>42826</v>
      </c>
      <c r="C9" s="370">
        <v>42855</v>
      </c>
      <c r="D9" s="385">
        <v>10.133857142857147</v>
      </c>
    </row>
    <row r="10" spans="2:4">
      <c r="B10" s="369">
        <v>42856</v>
      </c>
      <c r="C10" s="370">
        <v>42886</v>
      </c>
      <c r="D10" s="385">
        <v>13.516175115207373</v>
      </c>
    </row>
    <row r="11" spans="2:4">
      <c r="B11" s="369">
        <v>42887</v>
      </c>
      <c r="C11" s="370">
        <v>42916</v>
      </c>
      <c r="D11" s="385">
        <v>17.118714285714269</v>
      </c>
    </row>
    <row r="12" spans="2:4">
      <c r="B12" s="369">
        <v>42917</v>
      </c>
      <c r="C12" s="370">
        <v>42947</v>
      </c>
      <c r="D12" s="385">
        <v>19.041013824884789</v>
      </c>
    </row>
    <row r="13" spans="2:4">
      <c r="B13" s="369">
        <v>42948</v>
      </c>
      <c r="C13" s="370">
        <v>42978</v>
      </c>
      <c r="D13" s="385">
        <v>18.529308755760368</v>
      </c>
    </row>
    <row r="14" spans="2:4">
      <c r="B14" s="369">
        <v>42979</v>
      </c>
      <c r="C14" s="370">
        <v>43008</v>
      </c>
      <c r="D14" s="385">
        <v>14.465523809523811</v>
      </c>
    </row>
    <row r="15" spans="2:4">
      <c r="B15" s="371">
        <v>43009</v>
      </c>
      <c r="C15" s="372">
        <v>43039</v>
      </c>
      <c r="D15" s="386">
        <v>10.04188940092166</v>
      </c>
    </row>
    <row r="16" spans="2:4">
      <c r="B16" s="369">
        <v>43040</v>
      </c>
      <c r="C16" s="373">
        <v>43069</v>
      </c>
      <c r="D16" s="387">
        <v>6.4761904761904727</v>
      </c>
    </row>
    <row r="17" spans="2:4">
      <c r="B17" s="369">
        <v>43070</v>
      </c>
      <c r="C17" s="373">
        <v>43100</v>
      </c>
      <c r="D17" s="385">
        <v>3.4560829493087581</v>
      </c>
    </row>
    <row r="18" spans="2:4">
      <c r="B18" s="369">
        <v>43101</v>
      </c>
      <c r="C18" s="373">
        <v>43131</v>
      </c>
      <c r="D18" s="385">
        <v>1.7252822580645157</v>
      </c>
    </row>
    <row r="19" spans="2:4">
      <c r="B19" s="369">
        <v>43132</v>
      </c>
      <c r="C19" s="373">
        <v>43159</v>
      </c>
      <c r="D19" s="385">
        <v>1.6641592920353985</v>
      </c>
    </row>
    <row r="20" spans="2:4">
      <c r="B20" s="369">
        <v>43160</v>
      </c>
      <c r="C20" s="373">
        <v>43190</v>
      </c>
      <c r="D20" s="385">
        <v>5.5294354838709721</v>
      </c>
    </row>
    <row r="21" spans="2:4">
      <c r="B21" s="369">
        <v>43191</v>
      </c>
      <c r="C21" s="373">
        <v>43220</v>
      </c>
      <c r="D21" s="385">
        <v>9.9531666666666698</v>
      </c>
    </row>
    <row r="22" spans="2:4">
      <c r="B22" s="369">
        <v>43221</v>
      </c>
      <c r="C22" s="373">
        <v>43251</v>
      </c>
      <c r="D22" s="385">
        <v>13.44959677419355</v>
      </c>
    </row>
    <row r="23" spans="2:4">
      <c r="B23" s="369">
        <v>43252</v>
      </c>
      <c r="C23" s="373">
        <v>43281</v>
      </c>
      <c r="D23" s="385">
        <v>17.131624999999985</v>
      </c>
    </row>
    <row r="24" spans="2:4">
      <c r="B24" s="369">
        <v>43282</v>
      </c>
      <c r="C24" s="373">
        <v>43312</v>
      </c>
      <c r="D24" s="385">
        <v>19.115524193548382</v>
      </c>
    </row>
    <row r="25" spans="2:4">
      <c r="B25" s="369">
        <v>43313</v>
      </c>
      <c r="C25" s="373">
        <v>43343</v>
      </c>
      <c r="D25" s="385">
        <v>18.607258064516124</v>
      </c>
    </row>
    <row r="26" spans="2:4">
      <c r="B26" s="369">
        <v>43344</v>
      </c>
      <c r="C26" s="373">
        <v>43373</v>
      </c>
      <c r="D26" s="385">
        <v>14.74283333333333</v>
      </c>
    </row>
    <row r="27" spans="2:4">
      <c r="B27" s="371">
        <v>43374</v>
      </c>
      <c r="C27" s="376">
        <v>43404</v>
      </c>
      <c r="D27" s="386">
        <v>9.9213306451612908</v>
      </c>
    </row>
    <row r="28" spans="2:4">
      <c r="B28" s="388">
        <v>43405</v>
      </c>
      <c r="C28" s="389">
        <v>43434</v>
      </c>
      <c r="D28" s="387">
        <v>6.3140833333333282</v>
      </c>
    </row>
    <row r="29" spans="2:4">
      <c r="B29" s="369">
        <v>43435</v>
      </c>
      <c r="C29" s="370">
        <v>43465</v>
      </c>
      <c r="D29" s="385">
        <v>3.0019354838709695</v>
      </c>
    </row>
    <row r="30" spans="2:4">
      <c r="B30" s="369">
        <v>43466</v>
      </c>
      <c r="C30" s="370">
        <v>43496</v>
      </c>
      <c r="D30" s="385">
        <v>1.1054480286738342</v>
      </c>
    </row>
    <row r="31" spans="2:4">
      <c r="B31" s="369">
        <v>43497</v>
      </c>
      <c r="C31" s="370">
        <v>43524</v>
      </c>
      <c r="D31" s="385">
        <v>2.0055905511811032</v>
      </c>
    </row>
    <row r="32" spans="2:4">
      <c r="B32" s="369">
        <v>43525</v>
      </c>
      <c r="C32" s="370">
        <v>43555</v>
      </c>
      <c r="D32" s="385">
        <v>5.8350537634408628</v>
      </c>
    </row>
    <row r="33" spans="2:4">
      <c r="B33" s="369">
        <v>43556</v>
      </c>
      <c r="C33" s="370">
        <v>43585</v>
      </c>
      <c r="D33" s="385">
        <v>9.7753333333333394</v>
      </c>
    </row>
    <row r="34" spans="2:4">
      <c r="B34" s="369">
        <v>43586</v>
      </c>
      <c r="C34" s="370">
        <v>43616</v>
      </c>
      <c r="D34" s="385">
        <v>13.60845878136201</v>
      </c>
    </row>
    <row r="35" spans="2:4">
      <c r="B35" s="369">
        <v>43617</v>
      </c>
      <c r="C35" s="370">
        <v>43646</v>
      </c>
      <c r="D35" s="385">
        <v>17.397333333333322</v>
      </c>
    </row>
    <row r="36" spans="2:4">
      <c r="B36" s="369">
        <v>43647</v>
      </c>
      <c r="C36" s="370">
        <v>43677</v>
      </c>
      <c r="D36" s="385">
        <v>19.17964157706092</v>
      </c>
    </row>
    <row r="37" spans="2:4">
      <c r="B37" s="369">
        <v>43678</v>
      </c>
      <c r="C37" s="370">
        <v>43708</v>
      </c>
      <c r="D37" s="385">
        <v>18.677311827956977</v>
      </c>
    </row>
    <row r="38" spans="2:4">
      <c r="B38" s="369">
        <v>43709</v>
      </c>
      <c r="C38" s="370">
        <v>43738</v>
      </c>
      <c r="D38" s="385">
        <v>14.563962962962959</v>
      </c>
    </row>
    <row r="39" spans="2:4">
      <c r="B39" s="371">
        <v>43739</v>
      </c>
      <c r="C39" s="372">
        <v>43769</v>
      </c>
      <c r="D39" s="386">
        <v>10.037132616487453</v>
      </c>
    </row>
    <row r="40" spans="2:4">
      <c r="B40" s="369">
        <v>43770</v>
      </c>
      <c r="C40" s="373">
        <v>43799</v>
      </c>
      <c r="D40" s="387">
        <v>6.2053333333333311</v>
      </c>
    </row>
    <row r="41" spans="2:4">
      <c r="B41" s="369">
        <v>43800</v>
      </c>
      <c r="C41" s="373">
        <v>43830</v>
      </c>
      <c r="D41" s="385">
        <v>3.0030107526881729</v>
      </c>
    </row>
    <row r="42" spans="2:4">
      <c r="B42" s="369">
        <v>43831</v>
      </c>
      <c r="C42" s="373">
        <v>43861</v>
      </c>
      <c r="D42" s="385">
        <v>1.5480967741935476</v>
      </c>
    </row>
    <row r="43" spans="2:4">
      <c r="B43" s="369">
        <v>43862</v>
      </c>
      <c r="C43" s="373">
        <v>43889</v>
      </c>
      <c r="D43" s="385">
        <v>1.7784751773049656</v>
      </c>
    </row>
    <row r="44" spans="2:4">
      <c r="B44" s="369">
        <v>43891</v>
      </c>
      <c r="C44" s="373">
        <v>43921</v>
      </c>
      <c r="D44" s="385">
        <v>5.7157741935483894</v>
      </c>
    </row>
    <row r="45" spans="2:4">
      <c r="B45" s="369">
        <v>43922</v>
      </c>
      <c r="C45" s="373">
        <v>43951</v>
      </c>
      <c r="D45" s="385">
        <v>10.065400000000002</v>
      </c>
    </row>
    <row r="46" spans="2:4">
      <c r="B46" s="369">
        <v>43952</v>
      </c>
      <c r="C46" s="373">
        <v>43982</v>
      </c>
      <c r="D46" s="385">
        <v>13.793903225806448</v>
      </c>
    </row>
    <row r="47" spans="2:4">
      <c r="B47" s="369">
        <v>43983</v>
      </c>
      <c r="C47" s="373">
        <v>44012</v>
      </c>
      <c r="D47" s="385">
        <v>17.52143333333332</v>
      </c>
    </row>
    <row r="48" spans="2:4">
      <c r="B48" s="369">
        <v>44013</v>
      </c>
      <c r="C48" s="373">
        <v>44043</v>
      </c>
      <c r="D48" s="385">
        <v>19.382193548387082</v>
      </c>
    </row>
    <row r="49" spans="2:4">
      <c r="B49" s="369">
        <v>44044</v>
      </c>
      <c r="C49" s="373">
        <v>44074</v>
      </c>
      <c r="D49" s="385">
        <v>18.910645161290319</v>
      </c>
    </row>
    <row r="50" spans="2:4">
      <c r="B50" s="369">
        <v>44075</v>
      </c>
      <c r="C50" s="373">
        <v>44104</v>
      </c>
      <c r="D50" s="385">
        <v>14.729699999999994</v>
      </c>
    </row>
    <row r="51" spans="2:4">
      <c r="B51" s="371">
        <v>44105</v>
      </c>
      <c r="C51" s="376">
        <v>44135</v>
      </c>
      <c r="D51" s="386">
        <v>10.048806451612899</v>
      </c>
    </row>
    <row r="52" spans="2:4">
      <c r="B52" s="369">
        <v>44501</v>
      </c>
      <c r="C52" s="373">
        <v>44530</v>
      </c>
      <c r="D52" s="387">
        <v>6.0962666666666658</v>
      </c>
    </row>
    <row r="53" spans="2:4">
      <c r="B53" s="369">
        <v>44531</v>
      </c>
      <c r="C53" s="373">
        <v>44561</v>
      </c>
      <c r="D53" s="385">
        <v>3.1525806451612928</v>
      </c>
    </row>
    <row r="54" spans="2:4">
      <c r="B54" s="369">
        <v>44197</v>
      </c>
      <c r="C54" s="373">
        <v>44227</v>
      </c>
      <c r="D54" s="385">
        <v>1.4957478005865092</v>
      </c>
    </row>
    <row r="55" spans="2:4">
      <c r="B55" s="369">
        <v>44228</v>
      </c>
      <c r="C55" s="373">
        <v>44255</v>
      </c>
      <c r="D55" s="385">
        <v>2.0004838709677424</v>
      </c>
    </row>
    <row r="56" spans="2:4">
      <c r="B56" s="369">
        <v>44256</v>
      </c>
      <c r="C56" s="373">
        <v>44286</v>
      </c>
      <c r="D56" s="385">
        <v>5.8794428152492699</v>
      </c>
    </row>
    <row r="57" spans="2:4">
      <c r="B57" s="369">
        <v>44287</v>
      </c>
      <c r="C57" s="373">
        <v>44316</v>
      </c>
      <c r="D57" s="385">
        <v>9.9372424242424255</v>
      </c>
    </row>
    <row r="58" spans="2:4">
      <c r="B58" s="369">
        <v>44317</v>
      </c>
      <c r="C58" s="373">
        <v>44347</v>
      </c>
      <c r="D58" s="385">
        <v>13.566099706744868</v>
      </c>
    </row>
    <row r="59" spans="2:4">
      <c r="B59" s="369">
        <v>44348</v>
      </c>
      <c r="C59" s="373">
        <v>44377</v>
      </c>
      <c r="D59" s="385">
        <v>17.691787878787867</v>
      </c>
    </row>
    <row r="60" spans="2:4">
      <c r="B60" s="369">
        <v>44378</v>
      </c>
      <c r="C60" s="373">
        <v>44408</v>
      </c>
      <c r="D60" s="385">
        <v>19.464457478005855</v>
      </c>
    </row>
    <row r="61" spans="2:4">
      <c r="B61" s="369">
        <v>44409</v>
      </c>
      <c r="C61" s="373">
        <v>44439</v>
      </c>
      <c r="D61" s="385">
        <v>18.917507331378292</v>
      </c>
    </row>
    <row r="62" spans="2:4">
      <c r="B62" s="369">
        <v>44440</v>
      </c>
      <c r="C62" s="373">
        <v>44469</v>
      </c>
      <c r="D62" s="385">
        <v>14.746393939393933</v>
      </c>
    </row>
    <row r="63" spans="2:4">
      <c r="B63" s="371">
        <v>44470</v>
      </c>
      <c r="C63" s="376">
        <v>44500</v>
      </c>
      <c r="D63" s="386">
        <v>10.238211143695011</v>
      </c>
    </row>
    <row r="64" spans="2:4">
      <c r="B64" s="369">
        <v>44501</v>
      </c>
      <c r="C64" s="373">
        <v>44530</v>
      </c>
      <c r="D64" s="387">
        <v>6.0320606060606066</v>
      </c>
    </row>
    <row r="65" spans="2:4">
      <c r="B65" s="369">
        <v>44531</v>
      </c>
      <c r="C65" s="373">
        <v>44561</v>
      </c>
      <c r="D65" s="385">
        <v>3.2579472140762498</v>
      </c>
    </row>
    <row r="66" spans="2:4">
      <c r="B66" s="369">
        <v>44562</v>
      </c>
      <c r="C66" s="373">
        <v>44592</v>
      </c>
      <c r="D66" s="385">
        <v>1.6758064516129025</v>
      </c>
    </row>
    <row r="67" spans="2:4">
      <c r="B67" s="369">
        <v>44593</v>
      </c>
      <c r="C67" s="373">
        <v>44620</v>
      </c>
      <c r="D67" s="385">
        <v>2.4078466076696179</v>
      </c>
    </row>
    <row r="68" spans="2:4">
      <c r="B68" s="369">
        <v>44621</v>
      </c>
      <c r="C68" s="373">
        <v>44651</v>
      </c>
      <c r="D68" s="385">
        <v>5.9089516129032251</v>
      </c>
    </row>
    <row r="69" spans="2:4">
      <c r="B69" s="369">
        <v>44652</v>
      </c>
      <c r="C69" s="373">
        <v>44681</v>
      </c>
      <c r="D69" s="385">
        <v>10.104833333333337</v>
      </c>
    </row>
    <row r="70" spans="2:4">
      <c r="B70" s="369">
        <v>44682</v>
      </c>
      <c r="C70" s="373">
        <v>44712</v>
      </c>
      <c r="D70" s="385">
        <v>13.56524193548387</v>
      </c>
    </row>
    <row r="71" spans="2:4">
      <c r="B71" s="369">
        <v>44713</v>
      </c>
      <c r="C71" s="373">
        <v>44742</v>
      </c>
      <c r="D71" s="385">
        <v>17.632138888888875</v>
      </c>
    </row>
    <row r="72" spans="2:4">
      <c r="B72" s="369">
        <v>44743</v>
      </c>
      <c r="C72" s="373">
        <v>44773</v>
      </c>
      <c r="D72" s="385">
        <v>19.488091397849452</v>
      </c>
    </row>
    <row r="73" spans="2:4">
      <c r="B73" s="369">
        <v>44774</v>
      </c>
      <c r="C73" s="373">
        <v>44804</v>
      </c>
      <c r="D73" s="385">
        <v>19.028870967741931</v>
      </c>
    </row>
    <row r="74" spans="2:4">
      <c r="B74" s="369">
        <v>44805</v>
      </c>
      <c r="C74" s="373">
        <v>44834</v>
      </c>
      <c r="D74" s="385">
        <v>14.842861111111102</v>
      </c>
    </row>
    <row r="75" spans="2:4">
      <c r="B75" s="371">
        <v>44835</v>
      </c>
      <c r="C75" s="376">
        <v>44865</v>
      </c>
      <c r="D75" s="386">
        <v>10.250752688172044</v>
      </c>
    </row>
    <row r="76" spans="2:4" ht="15.75">
      <c r="B76" s="369">
        <v>44866</v>
      </c>
      <c r="C76" s="373">
        <v>44895</v>
      </c>
      <c r="D76" s="374">
        <v>6.0361111111111123</v>
      </c>
    </row>
    <row r="77" spans="2:4" ht="15.75">
      <c r="B77" s="369">
        <v>44896</v>
      </c>
      <c r="C77" s="373">
        <v>44926</v>
      </c>
      <c r="D77" s="375">
        <v>3.3420967741935512</v>
      </c>
    </row>
    <row r="78" spans="2:4" ht="15.75">
      <c r="B78" s="369">
        <v>44927</v>
      </c>
      <c r="C78" s="373">
        <v>44957</v>
      </c>
      <c r="D78" s="375">
        <v>1.6543424317617859</v>
      </c>
    </row>
    <row r="79" spans="2:4" ht="15.75">
      <c r="B79" s="369">
        <v>44958</v>
      </c>
      <c r="C79" s="373">
        <v>44985</v>
      </c>
      <c r="D79" s="375">
        <v>2.5611989100817447</v>
      </c>
    </row>
    <row r="80" spans="2:4" ht="15.75">
      <c r="B80" s="369">
        <v>44986</v>
      </c>
      <c r="C80" s="373">
        <v>45016</v>
      </c>
      <c r="D80" s="375">
        <v>5.8725310173697274</v>
      </c>
    </row>
    <row r="81" spans="2:4" ht="15.75">
      <c r="B81" s="369">
        <v>45017</v>
      </c>
      <c r="C81" s="373">
        <v>45046</v>
      </c>
      <c r="D81" s="375">
        <v>9.866769230769231</v>
      </c>
    </row>
    <row r="82" spans="2:4" ht="15.75">
      <c r="B82" s="369">
        <v>45047</v>
      </c>
      <c r="C82" s="373">
        <v>45077</v>
      </c>
      <c r="D82" s="375">
        <v>13.384044665012404</v>
      </c>
    </row>
    <row r="83" spans="2:4" ht="15.75">
      <c r="B83" s="369">
        <v>45078</v>
      </c>
      <c r="C83" s="373">
        <v>45107</v>
      </c>
      <c r="D83" s="375">
        <v>17.732743589743578</v>
      </c>
    </row>
    <row r="84" spans="2:4" ht="15.75">
      <c r="B84" s="369">
        <v>45108</v>
      </c>
      <c r="C84" s="373">
        <v>45138</v>
      </c>
      <c r="D84" s="375">
        <v>19.390744416873442</v>
      </c>
    </row>
    <row r="85" spans="2:4" ht="15.75">
      <c r="B85" s="369">
        <v>45139</v>
      </c>
      <c r="C85" s="373">
        <v>45169</v>
      </c>
      <c r="D85" s="375">
        <v>18.859404466501239</v>
      </c>
    </row>
    <row r="86" spans="2:4" ht="15.75">
      <c r="B86" s="369">
        <v>45170</v>
      </c>
      <c r="C86" s="373">
        <v>45199</v>
      </c>
      <c r="D86" s="375">
        <v>14.886487179487167</v>
      </c>
    </row>
    <row r="87" spans="2:4" ht="15.75">
      <c r="B87" s="371">
        <v>45200</v>
      </c>
      <c r="C87" s="376">
        <v>45230</v>
      </c>
      <c r="D87" s="377">
        <v>10.17166253101737</v>
      </c>
    </row>
    <row r="88" spans="2:4" ht="15.75">
      <c r="B88" s="388">
        <v>45231</v>
      </c>
      <c r="C88" s="406">
        <v>45260</v>
      </c>
      <c r="D88" s="374">
        <v>5.8451282051282059</v>
      </c>
    </row>
    <row r="89" spans="2:4" ht="15.75">
      <c r="B89" s="369">
        <v>45261</v>
      </c>
      <c r="C89" s="373">
        <v>45291</v>
      </c>
      <c r="D89" s="375">
        <v>3.3701240694789112</v>
      </c>
    </row>
    <row r="90" spans="2:4" ht="15.75">
      <c r="B90" s="369">
        <v>45292</v>
      </c>
      <c r="C90" s="373">
        <v>45322</v>
      </c>
      <c r="D90" s="375">
        <v>1.6357142857142848</v>
      </c>
    </row>
    <row r="91" spans="2:4" ht="15.75">
      <c r="B91" s="369">
        <v>45323</v>
      </c>
      <c r="C91" s="373">
        <v>45350</v>
      </c>
      <c r="D91" s="375">
        <v>2.7573670886075958</v>
      </c>
    </row>
    <row r="92" spans="2:4" ht="15.75">
      <c r="B92" s="369">
        <v>45352</v>
      </c>
      <c r="C92" s="373">
        <v>45382</v>
      </c>
      <c r="D92" s="375">
        <v>5.8892396313364044</v>
      </c>
    </row>
    <row r="93" spans="2:4" ht="15.75">
      <c r="B93" s="369">
        <v>45383</v>
      </c>
      <c r="C93" s="373">
        <v>45412</v>
      </c>
      <c r="D93" s="375">
        <v>9.8217619047619031</v>
      </c>
    </row>
    <row r="94" spans="2:4" ht="15.75">
      <c r="B94" s="369">
        <v>45413</v>
      </c>
      <c r="C94" s="373">
        <v>45443</v>
      </c>
      <c r="D94" s="375">
        <v>13.54232718894009</v>
      </c>
    </row>
    <row r="95" spans="2:4" ht="15.75">
      <c r="B95" s="369">
        <v>45444</v>
      </c>
      <c r="C95" s="373">
        <v>45473</v>
      </c>
      <c r="D95" s="375">
        <v>17.862071428571419</v>
      </c>
    </row>
    <row r="96" spans="2:4" ht="15.75">
      <c r="B96" s="369">
        <v>45474</v>
      </c>
      <c r="C96" s="373">
        <v>45504</v>
      </c>
      <c r="D96" s="375">
        <v>19.5102995391705</v>
      </c>
    </row>
    <row r="97" spans="2:4" ht="15.75">
      <c r="B97" s="369">
        <v>45505</v>
      </c>
      <c r="C97" s="373">
        <v>45535</v>
      </c>
      <c r="D97" s="375">
        <v>19.032811059907832</v>
      </c>
    </row>
    <row r="98" spans="2:4" ht="15.75">
      <c r="B98" s="369">
        <v>45536</v>
      </c>
      <c r="C98" s="373">
        <v>45565</v>
      </c>
      <c r="D98" s="375">
        <v>14.85935714285713</v>
      </c>
    </row>
    <row r="99" spans="2:4" ht="15.75">
      <c r="B99" s="371">
        <v>45566</v>
      </c>
      <c r="C99" s="376">
        <v>45596</v>
      </c>
      <c r="D99" s="405">
        <v>10.435207373271892</v>
      </c>
    </row>
    <row r="100" spans="2:4" ht="15.75">
      <c r="B100" s="378">
        <v>45597</v>
      </c>
      <c r="C100" s="379">
        <v>45626</v>
      </c>
      <c r="D100" s="374">
        <v>5.9866666666666681</v>
      </c>
    </row>
    <row r="101" spans="2:4" ht="15.75">
      <c r="B101" s="380">
        <v>45627</v>
      </c>
      <c r="C101" s="381">
        <v>45657</v>
      </c>
      <c r="D101" s="375">
        <v>3.3464516129032265</v>
      </c>
    </row>
    <row r="102" spans="2:4" ht="15.75">
      <c r="B102" s="380">
        <v>45658</v>
      </c>
      <c r="C102" s="381">
        <v>45688</v>
      </c>
      <c r="D102" s="375">
        <v>1.8086021505376335</v>
      </c>
    </row>
    <row r="103" spans="2:4" ht="15.75">
      <c r="B103" s="380">
        <v>45689</v>
      </c>
      <c r="C103" s="381">
        <v>45716</v>
      </c>
      <c r="D103" s="375">
        <v>2.7982505910165498</v>
      </c>
    </row>
    <row r="104" spans="2:4" ht="15.75">
      <c r="B104" s="380">
        <v>45717</v>
      </c>
      <c r="C104" s="381">
        <v>45747</v>
      </c>
      <c r="D104" s="375">
        <v>6.009741935483869</v>
      </c>
    </row>
    <row r="105" spans="2:4" ht="15.75">
      <c r="B105" s="380">
        <v>45748</v>
      </c>
      <c r="C105" s="381">
        <v>45777</v>
      </c>
      <c r="D105" s="375">
        <v>9.7478666666666651</v>
      </c>
    </row>
    <row r="106" spans="2:4" ht="15.75">
      <c r="B106" s="380">
        <v>45778</v>
      </c>
      <c r="C106" s="381">
        <v>45808</v>
      </c>
      <c r="D106" s="375">
        <v>13.584021505376338</v>
      </c>
    </row>
    <row r="107" spans="2:4" ht="15.75">
      <c r="B107" s="380">
        <v>45809</v>
      </c>
      <c r="C107" s="381">
        <v>45838</v>
      </c>
      <c r="D107" s="375">
        <v>17.982155555555547</v>
      </c>
    </row>
    <row r="108" spans="2:4" ht="15.75">
      <c r="B108" s="380">
        <v>45839</v>
      </c>
      <c r="C108" s="381">
        <v>45869</v>
      </c>
      <c r="D108" s="375">
        <v>19.535419354838705</v>
      </c>
    </row>
    <row r="109" spans="2:4" ht="15.75">
      <c r="B109" s="380">
        <v>45870</v>
      </c>
      <c r="C109" s="381">
        <v>45900</v>
      </c>
      <c r="D109" s="375">
        <v>19.057075268817201</v>
      </c>
    </row>
    <row r="110" spans="2:4" ht="15.75">
      <c r="B110" s="380">
        <v>45901</v>
      </c>
      <c r="C110" s="381">
        <v>45930</v>
      </c>
      <c r="D110" s="375">
        <v>15.055844444444428</v>
      </c>
    </row>
    <row r="111" spans="2:4" ht="15.75">
      <c r="B111" s="382">
        <v>45931</v>
      </c>
      <c r="C111" s="383">
        <v>45961</v>
      </c>
      <c r="D111" s="405">
        <v>10.59393548387097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HIST_MONATSDURCHSCHNITT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Lorenz, Jürgen</cp:lastModifiedBy>
  <cp:lastPrinted>2015-03-20T22:59:10Z</cp:lastPrinted>
  <dcterms:created xsi:type="dcterms:W3CDTF">2015-01-15T05:25:41Z</dcterms:created>
  <dcterms:modified xsi:type="dcterms:W3CDTF">2024-10-28T13:50:11Z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